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tabRatio="806"/>
  </bookViews>
  <sheets>
    <sheet name="меню 1-4 классы" sheetId="8" r:id="rId1"/>
    <sheet name="5-11кл." sheetId="12" r:id="rId2"/>
  </sheets>
  <definedNames>
    <definedName name="_Hlk57507523" localSheetId="1">'5-11кл.'!$B$4</definedName>
    <definedName name="_Hlk57507523" localSheetId="0">'меню 1-4 классы'!$B$4</definedName>
    <definedName name="_xlnm._FilterDatabase" localSheetId="1" hidden="1">'5-11кл.'!$C$4:$C$211</definedName>
    <definedName name="_xlnm._FilterDatabase" localSheetId="0" hidden="1">'меню 1-4 классы'!$C$4:$C$210</definedName>
    <definedName name="_xlnm.Print_Area" localSheetId="1">'5-11кл.'!$A$1:$M$203</definedName>
    <definedName name="_xlnm.Print_Area" localSheetId="0">'меню 1-4 классы'!$A$1:$L$202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12" l="1"/>
  <c r="K48" i="12"/>
  <c r="J48" i="12"/>
  <c r="I48" i="12"/>
  <c r="H48" i="12"/>
  <c r="G48" i="12"/>
  <c r="F48" i="12"/>
  <c r="E48" i="12"/>
  <c r="L200" i="12" l="1"/>
  <c r="K200" i="12"/>
  <c r="J200" i="12"/>
  <c r="I200" i="12"/>
  <c r="H200" i="12"/>
  <c r="G200" i="12"/>
  <c r="F200" i="12"/>
  <c r="E200" i="12"/>
  <c r="L197" i="8" l="1"/>
  <c r="K197" i="8"/>
  <c r="J197" i="8"/>
  <c r="I197" i="8"/>
  <c r="H197" i="8"/>
  <c r="G197" i="8"/>
  <c r="F197" i="8"/>
  <c r="E197" i="8"/>
  <c r="L137" i="8"/>
  <c r="K137" i="8"/>
  <c r="J137" i="8"/>
  <c r="I137" i="8"/>
  <c r="H137" i="8"/>
  <c r="G137" i="8"/>
  <c r="F137" i="8"/>
  <c r="E137" i="8"/>
  <c r="L115" i="12" l="1"/>
  <c r="K115" i="12"/>
  <c r="J115" i="12"/>
  <c r="H115" i="12"/>
  <c r="G115" i="12"/>
  <c r="F115" i="12"/>
  <c r="E115" i="12"/>
  <c r="L113" i="12"/>
  <c r="K113" i="12"/>
  <c r="J113" i="12"/>
  <c r="I113" i="12"/>
  <c r="H113" i="12"/>
  <c r="G113" i="12"/>
  <c r="F113" i="12"/>
  <c r="E113" i="12"/>
  <c r="L85" i="12" l="1"/>
  <c r="K85" i="12"/>
  <c r="J85" i="12"/>
  <c r="I85" i="12"/>
  <c r="H85" i="12"/>
  <c r="G85" i="12"/>
  <c r="F85" i="12"/>
  <c r="E85" i="12"/>
  <c r="D40" i="12"/>
  <c r="L35" i="12" l="1"/>
  <c r="K35" i="12"/>
  <c r="J35" i="12"/>
  <c r="I35" i="12"/>
  <c r="H35" i="12"/>
  <c r="G35" i="12"/>
  <c r="E35" i="12"/>
  <c r="L34" i="12"/>
  <c r="L40" i="12" s="1"/>
  <c r="K34" i="12"/>
  <c r="J34" i="12"/>
  <c r="I34" i="12"/>
  <c r="H34" i="12"/>
  <c r="G34" i="12"/>
  <c r="F34" i="12"/>
  <c r="F40" i="12" s="1"/>
  <c r="E34" i="12"/>
  <c r="E40" i="12" s="1"/>
  <c r="L94" i="12"/>
  <c r="K94" i="12"/>
  <c r="J94" i="12"/>
  <c r="I94" i="12"/>
  <c r="H94" i="12"/>
  <c r="G94" i="12"/>
  <c r="F94" i="12"/>
  <c r="E94" i="12"/>
  <c r="L104" i="12"/>
  <c r="K104" i="12"/>
  <c r="J104" i="12"/>
  <c r="I104" i="12"/>
  <c r="H104" i="12"/>
  <c r="G104" i="12"/>
  <c r="F104" i="12"/>
  <c r="E104" i="12"/>
  <c r="L105" i="12"/>
  <c r="K105" i="12"/>
  <c r="J105" i="12"/>
  <c r="I105" i="12"/>
  <c r="H105" i="12"/>
  <c r="G105" i="12"/>
  <c r="F105" i="12"/>
  <c r="E105" i="12"/>
  <c r="L138" i="12"/>
  <c r="K138" i="12"/>
  <c r="J138" i="12"/>
  <c r="H138" i="12"/>
  <c r="G138" i="12"/>
  <c r="F138" i="12"/>
  <c r="E138" i="12"/>
  <c r="L134" i="12"/>
  <c r="K134" i="12"/>
  <c r="J134" i="12"/>
  <c r="I134" i="12"/>
  <c r="H134" i="12"/>
  <c r="G134" i="12"/>
  <c r="F134" i="12"/>
  <c r="E134" i="12"/>
  <c r="L128" i="12"/>
  <c r="K128" i="12"/>
  <c r="J128" i="12"/>
  <c r="H128" i="12"/>
  <c r="G128" i="12"/>
  <c r="F128" i="12"/>
  <c r="E128" i="12"/>
  <c r="L49" i="12"/>
  <c r="K49" i="12"/>
  <c r="J49" i="12"/>
  <c r="H49" i="12"/>
  <c r="G49" i="12"/>
  <c r="F49" i="12"/>
  <c r="E49" i="12"/>
  <c r="G40" i="12" l="1"/>
  <c r="H40" i="12"/>
  <c r="I40" i="12"/>
  <c r="J40" i="12"/>
  <c r="K40" i="12"/>
  <c r="L176" i="12"/>
  <c r="K176" i="12"/>
  <c r="J176" i="12"/>
  <c r="I176" i="12"/>
  <c r="H176" i="12"/>
  <c r="G176" i="12"/>
  <c r="F176" i="12"/>
  <c r="E176" i="12"/>
  <c r="L174" i="12"/>
  <c r="K174" i="12"/>
  <c r="J174" i="12"/>
  <c r="I174" i="12"/>
  <c r="H174" i="12"/>
  <c r="G174" i="12"/>
  <c r="F174" i="12"/>
  <c r="E174" i="12"/>
  <c r="L171" i="12"/>
  <c r="K171" i="12"/>
  <c r="J171" i="12"/>
  <c r="H171" i="12"/>
  <c r="G171" i="12"/>
  <c r="F171" i="12"/>
  <c r="E171" i="12"/>
  <c r="L169" i="12"/>
  <c r="K169" i="12"/>
  <c r="J169" i="12"/>
  <c r="H169" i="12"/>
  <c r="G169" i="12"/>
  <c r="F169" i="12"/>
  <c r="E169" i="12"/>
  <c r="L14" i="12"/>
  <c r="K14" i="12"/>
  <c r="J14" i="12"/>
  <c r="I14" i="12"/>
  <c r="H14" i="12"/>
  <c r="G14" i="12"/>
  <c r="F14" i="12"/>
  <c r="E14" i="12"/>
  <c r="L13" i="12"/>
  <c r="K13" i="12"/>
  <c r="J13" i="12"/>
  <c r="I13" i="12"/>
  <c r="H13" i="12"/>
  <c r="G13" i="12"/>
  <c r="F13" i="12"/>
  <c r="E13" i="12"/>
  <c r="L16" i="12"/>
  <c r="K16" i="12"/>
  <c r="J16" i="12"/>
  <c r="H16" i="12"/>
  <c r="G16" i="12"/>
  <c r="F16" i="12"/>
  <c r="E16" i="12"/>
  <c r="L19" i="12"/>
  <c r="K19" i="12"/>
  <c r="J19" i="12"/>
  <c r="H19" i="12"/>
  <c r="G19" i="12"/>
  <c r="F19" i="12"/>
  <c r="E19" i="12"/>
  <c r="L18" i="12"/>
  <c r="K18" i="12"/>
  <c r="J18" i="12"/>
  <c r="H18" i="12"/>
  <c r="G18" i="12"/>
  <c r="F18" i="12"/>
  <c r="E18" i="12"/>
  <c r="L8" i="12"/>
  <c r="K8" i="12"/>
  <c r="J8" i="12"/>
  <c r="H8" i="12"/>
  <c r="G8" i="12"/>
  <c r="F8" i="12"/>
  <c r="E8" i="12"/>
  <c r="L7" i="12"/>
  <c r="K7" i="12"/>
  <c r="J7" i="12"/>
  <c r="I7" i="12"/>
  <c r="H7" i="12"/>
  <c r="G7" i="12"/>
  <c r="F7" i="12"/>
  <c r="E7" i="12"/>
  <c r="L138" i="8" l="1"/>
  <c r="K138" i="8"/>
  <c r="J138" i="8"/>
  <c r="H138" i="8"/>
  <c r="G138" i="8"/>
  <c r="F138" i="8"/>
  <c r="E138" i="8"/>
  <c r="E139" i="8"/>
  <c r="E80" i="8"/>
  <c r="F80" i="8"/>
  <c r="G80" i="8"/>
  <c r="H80" i="8"/>
  <c r="I80" i="8"/>
  <c r="J80" i="8"/>
  <c r="K80" i="8"/>
  <c r="L80" i="8"/>
  <c r="D80" i="8"/>
  <c r="D20" i="8" l="1"/>
  <c r="E40" i="8" l="1"/>
  <c r="F40" i="8"/>
  <c r="G40" i="8"/>
  <c r="H40" i="8"/>
  <c r="I40" i="8"/>
  <c r="J40" i="8"/>
  <c r="K40" i="8"/>
  <c r="L40" i="8"/>
  <c r="D40" i="8"/>
  <c r="L54" i="12" l="1"/>
  <c r="K54" i="12"/>
  <c r="J54" i="12"/>
  <c r="I54" i="12"/>
  <c r="H54" i="12"/>
  <c r="G54" i="12"/>
  <c r="F54" i="12"/>
  <c r="F58" i="12" s="1"/>
  <c r="E54" i="12"/>
  <c r="L72" i="12"/>
  <c r="L79" i="12" s="1"/>
  <c r="K72" i="12"/>
  <c r="K79" i="12" s="1"/>
  <c r="J72" i="12"/>
  <c r="J79" i="12" s="1"/>
  <c r="I72" i="12"/>
  <c r="I79" i="12" s="1"/>
  <c r="H72" i="12"/>
  <c r="H79" i="12" s="1"/>
  <c r="G72" i="12"/>
  <c r="G79" i="12" s="1"/>
  <c r="F72" i="12"/>
  <c r="F79" i="12" s="1"/>
  <c r="E72" i="12"/>
  <c r="E79" i="12" s="1"/>
  <c r="L153" i="12"/>
  <c r="K153" i="12"/>
  <c r="J153" i="12"/>
  <c r="I153" i="12"/>
  <c r="H153" i="12"/>
  <c r="G153" i="12"/>
  <c r="F153" i="12"/>
  <c r="E153" i="12"/>
  <c r="L152" i="12"/>
  <c r="K152" i="12"/>
  <c r="J152" i="12"/>
  <c r="I152" i="12"/>
  <c r="H152" i="12"/>
  <c r="G152" i="12"/>
  <c r="F152" i="12"/>
  <c r="F160" i="12" s="1"/>
  <c r="E152" i="12"/>
  <c r="E160" i="12" s="1"/>
  <c r="L194" i="12"/>
  <c r="K194" i="12"/>
  <c r="J194" i="12"/>
  <c r="I194" i="12"/>
  <c r="H194" i="12"/>
  <c r="G194" i="12"/>
  <c r="F194" i="12"/>
  <c r="E194" i="12"/>
  <c r="L92" i="12"/>
  <c r="K92" i="12"/>
  <c r="J92" i="12"/>
  <c r="I92" i="12"/>
  <c r="H92" i="12"/>
  <c r="G92" i="12"/>
  <c r="F92" i="12"/>
  <c r="E92" i="12"/>
  <c r="E98" i="12" s="1"/>
  <c r="E99" i="12" s="1"/>
  <c r="L93" i="12"/>
  <c r="K93" i="12"/>
  <c r="K98" i="12" s="1"/>
  <c r="J93" i="12"/>
  <c r="J98" i="12" s="1"/>
  <c r="I93" i="12"/>
  <c r="I98" i="12" s="1"/>
  <c r="H93" i="12"/>
  <c r="G93" i="12"/>
  <c r="G98" i="12" s="1"/>
  <c r="F93" i="12"/>
  <c r="E93" i="12"/>
  <c r="D79" i="12"/>
  <c r="L145" i="12"/>
  <c r="K145" i="12"/>
  <c r="K150" i="12" s="1"/>
  <c r="J145" i="12"/>
  <c r="J150" i="12" s="1"/>
  <c r="I145" i="12"/>
  <c r="I150" i="12" s="1"/>
  <c r="H145" i="12"/>
  <c r="H150" i="12" s="1"/>
  <c r="G145" i="12"/>
  <c r="G150" i="12" s="1"/>
  <c r="F145" i="12"/>
  <c r="F150" i="12" s="1"/>
  <c r="E145" i="12"/>
  <c r="E150" i="12" s="1"/>
  <c r="I90" i="12"/>
  <c r="D90" i="12"/>
  <c r="I90" i="8"/>
  <c r="D90" i="8"/>
  <c r="D200" i="12"/>
  <c r="L195" i="12"/>
  <c r="K195" i="12"/>
  <c r="J195" i="12"/>
  <c r="I195" i="12"/>
  <c r="H195" i="12"/>
  <c r="G195" i="12"/>
  <c r="F195" i="12"/>
  <c r="E195" i="12"/>
  <c r="L191" i="12"/>
  <c r="K191" i="12"/>
  <c r="J191" i="12"/>
  <c r="I191" i="12"/>
  <c r="H191" i="12"/>
  <c r="G191" i="12"/>
  <c r="F191" i="12"/>
  <c r="E191" i="12"/>
  <c r="D191" i="12"/>
  <c r="L180" i="12"/>
  <c r="K180" i="12"/>
  <c r="J180" i="12"/>
  <c r="I180" i="12"/>
  <c r="H180" i="12"/>
  <c r="G180" i="12"/>
  <c r="F180" i="12"/>
  <c r="E180" i="12"/>
  <c r="D180" i="12"/>
  <c r="L172" i="12"/>
  <c r="K172" i="12"/>
  <c r="J172" i="12"/>
  <c r="I172" i="12"/>
  <c r="G172" i="12"/>
  <c r="D172" i="12"/>
  <c r="H172" i="12"/>
  <c r="F172" i="12"/>
  <c r="E172" i="12"/>
  <c r="L160" i="12"/>
  <c r="K160" i="12"/>
  <c r="J160" i="12"/>
  <c r="D160" i="12"/>
  <c r="D150" i="12"/>
  <c r="L150" i="12"/>
  <c r="L139" i="12"/>
  <c r="K139" i="12"/>
  <c r="J139" i="12"/>
  <c r="I139" i="12"/>
  <c r="H139" i="12"/>
  <c r="G139" i="12"/>
  <c r="F139" i="12"/>
  <c r="E139" i="12"/>
  <c r="D139" i="12"/>
  <c r="L131" i="12"/>
  <c r="K131" i="12"/>
  <c r="J131" i="12"/>
  <c r="I131" i="12"/>
  <c r="F131" i="12"/>
  <c r="E131" i="12"/>
  <c r="D131" i="12"/>
  <c r="H131" i="12"/>
  <c r="G131" i="12"/>
  <c r="K119" i="12"/>
  <c r="I119" i="12"/>
  <c r="F119" i="12"/>
  <c r="E119" i="12"/>
  <c r="D119" i="12"/>
  <c r="L119" i="12"/>
  <c r="J119" i="12"/>
  <c r="H119" i="12"/>
  <c r="G119" i="12"/>
  <c r="D110" i="12"/>
  <c r="L109" i="12"/>
  <c r="K109" i="12"/>
  <c r="J109" i="12"/>
  <c r="I109" i="12"/>
  <c r="I110" i="12" s="1"/>
  <c r="H109" i="12"/>
  <c r="G109" i="12"/>
  <c r="F109" i="12"/>
  <c r="E109" i="12"/>
  <c r="L107" i="12"/>
  <c r="L110" i="12" s="1"/>
  <c r="K107" i="12"/>
  <c r="J107" i="12"/>
  <c r="J110" i="12" s="1"/>
  <c r="H107" i="12"/>
  <c r="G107" i="12"/>
  <c r="F107" i="12"/>
  <c r="F110" i="12" s="1"/>
  <c r="E107" i="12"/>
  <c r="L98" i="12"/>
  <c r="D98" i="12"/>
  <c r="L87" i="12"/>
  <c r="L90" i="12" s="1"/>
  <c r="K87" i="12"/>
  <c r="K90" i="12" s="1"/>
  <c r="J87" i="12"/>
  <c r="J90" i="12" s="1"/>
  <c r="H87" i="12"/>
  <c r="H90" i="12" s="1"/>
  <c r="G87" i="12"/>
  <c r="G90" i="12" s="1"/>
  <c r="F87" i="12"/>
  <c r="F90" i="12" s="1"/>
  <c r="E87" i="12"/>
  <c r="E90" i="12" s="1"/>
  <c r="L69" i="12"/>
  <c r="K69" i="12"/>
  <c r="J69" i="12"/>
  <c r="I69" i="12"/>
  <c r="H69" i="12"/>
  <c r="G69" i="12"/>
  <c r="F69" i="12"/>
  <c r="E69" i="12"/>
  <c r="D69" i="12"/>
  <c r="I58" i="12"/>
  <c r="D58" i="12"/>
  <c r="L57" i="12"/>
  <c r="L58" i="12" s="1"/>
  <c r="K57" i="12"/>
  <c r="K58" i="12" s="1"/>
  <c r="J57" i="12"/>
  <c r="I57" i="12"/>
  <c r="H57" i="12"/>
  <c r="G57" i="12"/>
  <c r="E57" i="12"/>
  <c r="L51" i="12"/>
  <c r="K51" i="12"/>
  <c r="J51" i="12"/>
  <c r="I51" i="12"/>
  <c r="H51" i="12"/>
  <c r="G51" i="12"/>
  <c r="F51" i="12"/>
  <c r="E51" i="12"/>
  <c r="D51" i="12"/>
  <c r="L31" i="12"/>
  <c r="K31" i="12"/>
  <c r="J31" i="12"/>
  <c r="I31" i="12"/>
  <c r="H31" i="12"/>
  <c r="G31" i="12"/>
  <c r="F31" i="12"/>
  <c r="E31" i="12"/>
  <c r="D31" i="12"/>
  <c r="L20" i="12"/>
  <c r="K20" i="12"/>
  <c r="J20" i="12"/>
  <c r="I20" i="12"/>
  <c r="G20" i="12"/>
  <c r="F20" i="12"/>
  <c r="D20" i="12"/>
  <c r="H20" i="12"/>
  <c r="E20" i="12"/>
  <c r="L11" i="12"/>
  <c r="K11" i="12"/>
  <c r="J11" i="12"/>
  <c r="I11" i="12"/>
  <c r="I21" i="12" s="1"/>
  <c r="H11" i="12"/>
  <c r="G11" i="12"/>
  <c r="F11" i="12"/>
  <c r="E11" i="12"/>
  <c r="D11" i="12"/>
  <c r="F98" i="12" l="1"/>
  <c r="F99" i="12" s="1"/>
  <c r="G80" i="12"/>
  <c r="H80" i="12"/>
  <c r="G58" i="12"/>
  <c r="G59" i="12" s="1"/>
  <c r="H98" i="12"/>
  <c r="H160" i="12"/>
  <c r="H161" i="12" s="1"/>
  <c r="K110" i="12"/>
  <c r="K120" i="12" s="1"/>
  <c r="H58" i="12"/>
  <c r="H59" i="12" s="1"/>
  <c r="G110" i="12"/>
  <c r="H110" i="12"/>
  <c r="I160" i="12"/>
  <c r="I161" i="12" s="1"/>
  <c r="J99" i="12"/>
  <c r="J58" i="12"/>
  <c r="J59" i="12" s="1"/>
  <c r="K99" i="12"/>
  <c r="G21" i="12"/>
  <c r="G99" i="12"/>
  <c r="G160" i="12"/>
  <c r="E110" i="12"/>
  <c r="E120" i="12" s="1"/>
  <c r="K80" i="12"/>
  <c r="J80" i="12"/>
  <c r="D21" i="12"/>
  <c r="H21" i="12"/>
  <c r="L21" i="12"/>
  <c r="K21" i="12"/>
  <c r="J21" i="12"/>
  <c r="F21" i="12"/>
  <c r="E21" i="12"/>
  <c r="L41" i="12"/>
  <c r="E58" i="12"/>
  <c r="E59" i="12" s="1"/>
  <c r="K201" i="12"/>
  <c r="E201" i="12"/>
  <c r="I120" i="12"/>
  <c r="K41" i="12"/>
  <c r="D181" i="12"/>
  <c r="G161" i="12"/>
  <c r="H140" i="12"/>
  <c r="E140" i="12"/>
  <c r="I140" i="12"/>
  <c r="J140" i="12"/>
  <c r="I41" i="12"/>
  <c r="L140" i="12"/>
  <c r="H181" i="12"/>
  <c r="G181" i="12"/>
  <c r="I181" i="12"/>
  <c r="J181" i="12"/>
  <c r="L181" i="12"/>
  <c r="K161" i="12"/>
  <c r="K140" i="12"/>
  <c r="I99" i="12"/>
  <c r="D59" i="12"/>
  <c r="F59" i="12"/>
  <c r="F41" i="12"/>
  <c r="G41" i="12"/>
  <c r="J41" i="12"/>
  <c r="D201" i="12"/>
  <c r="H201" i="12"/>
  <c r="F161" i="12"/>
  <c r="J201" i="12"/>
  <c r="F201" i="12"/>
  <c r="G201" i="12"/>
  <c r="I201" i="12"/>
  <c r="E181" i="12"/>
  <c r="F181" i="12"/>
  <c r="K181" i="12"/>
  <c r="L161" i="12"/>
  <c r="J161" i="12"/>
  <c r="E161" i="12"/>
  <c r="D161" i="12"/>
  <c r="F140" i="12"/>
  <c r="G140" i="12"/>
  <c r="L201" i="12"/>
  <c r="D140" i="12"/>
  <c r="D120" i="12"/>
  <c r="E80" i="12"/>
  <c r="I80" i="12"/>
  <c r="L80" i="12"/>
  <c r="G120" i="12"/>
  <c r="J120" i="12"/>
  <c r="L99" i="12"/>
  <c r="H99" i="12"/>
  <c r="D99" i="12"/>
  <c r="K59" i="12"/>
  <c r="L59" i="12"/>
  <c r="I59" i="12"/>
  <c r="D80" i="12"/>
  <c r="F80" i="12"/>
  <c r="E41" i="12"/>
  <c r="D41" i="12"/>
  <c r="H41" i="12"/>
  <c r="L120" i="12"/>
  <c r="F120" i="12"/>
  <c r="H120" i="12"/>
  <c r="L194" i="8"/>
  <c r="K194" i="8"/>
  <c r="J194" i="8"/>
  <c r="I194" i="8"/>
  <c r="H194" i="8"/>
  <c r="G194" i="8"/>
  <c r="F194" i="8"/>
  <c r="E194" i="8"/>
  <c r="I202" i="12" l="1"/>
  <c r="I203" i="12" s="1"/>
  <c r="G202" i="12"/>
  <c r="G203" i="12" s="1"/>
  <c r="J202" i="12"/>
  <c r="J203" i="12" s="1"/>
  <c r="E202" i="12"/>
  <c r="E203" i="12" s="1"/>
  <c r="K202" i="12"/>
  <c r="K203" i="12" s="1"/>
  <c r="F202" i="12"/>
  <c r="F203" i="12" s="1"/>
  <c r="D202" i="12"/>
  <c r="D203" i="12" s="1"/>
  <c r="L202" i="12"/>
  <c r="L203" i="12" s="1"/>
  <c r="H202" i="12"/>
  <c r="H203" i="12" s="1"/>
  <c r="D199" i="8"/>
  <c r="E160" i="8" l="1"/>
  <c r="F160" i="8"/>
  <c r="G160" i="8"/>
  <c r="H160" i="8"/>
  <c r="I160" i="8"/>
  <c r="J160" i="8"/>
  <c r="K160" i="8"/>
  <c r="L160" i="8"/>
  <c r="D160" i="8"/>
  <c r="L58" i="8" l="1"/>
  <c r="K58" i="8"/>
  <c r="J58" i="8"/>
  <c r="I58" i="8"/>
  <c r="H58" i="8"/>
  <c r="G58" i="8"/>
  <c r="E58" i="8"/>
  <c r="L18" i="8" l="1"/>
  <c r="K18" i="8"/>
  <c r="J18" i="8"/>
  <c r="H18" i="8"/>
  <c r="G18" i="8"/>
  <c r="F18" i="8"/>
  <c r="E18" i="8"/>
  <c r="K168" i="8" l="1"/>
  <c r="H168" i="8"/>
  <c r="F168" i="8"/>
  <c r="E168" i="8"/>
  <c r="L129" i="8" l="1"/>
  <c r="J129" i="8"/>
  <c r="H129" i="8"/>
  <c r="G129" i="8"/>
  <c r="L107" i="8" l="1"/>
  <c r="K107" i="8"/>
  <c r="J107" i="8"/>
  <c r="H107" i="8"/>
  <c r="G107" i="8"/>
  <c r="F107" i="8"/>
  <c r="E107" i="8"/>
  <c r="L88" i="8" l="1"/>
  <c r="L90" i="8" s="1"/>
  <c r="K88" i="8"/>
  <c r="K90" i="8" s="1"/>
  <c r="J88" i="8"/>
  <c r="J90" i="8" s="1"/>
  <c r="H88" i="8"/>
  <c r="H90" i="8" s="1"/>
  <c r="G88" i="8"/>
  <c r="G90" i="8" s="1"/>
  <c r="F88" i="8"/>
  <c r="F90" i="8" s="1"/>
  <c r="E88" i="8"/>
  <c r="E90" i="8" s="1"/>
  <c r="L190" i="8" l="1"/>
  <c r="K190" i="8"/>
  <c r="J190" i="8"/>
  <c r="I190" i="8"/>
  <c r="H190" i="8"/>
  <c r="G190" i="8"/>
  <c r="F190" i="8"/>
  <c r="E190" i="8"/>
  <c r="D190" i="8"/>
  <c r="L109" i="8"/>
  <c r="K109" i="8"/>
  <c r="J109" i="8"/>
  <c r="I109" i="8"/>
  <c r="H109" i="8"/>
  <c r="G109" i="8"/>
  <c r="F109" i="8"/>
  <c r="E109" i="8"/>
  <c r="L70" i="8" l="1"/>
  <c r="K70" i="8"/>
  <c r="J70" i="8"/>
  <c r="I70" i="8"/>
  <c r="H70" i="8"/>
  <c r="G70" i="8"/>
  <c r="F70" i="8"/>
  <c r="E70" i="8"/>
  <c r="D70" i="8"/>
  <c r="L117" i="8" l="1"/>
  <c r="K117" i="8"/>
  <c r="J117" i="8"/>
  <c r="H117" i="8"/>
  <c r="G117" i="8"/>
  <c r="F117" i="8"/>
  <c r="E117" i="8"/>
  <c r="E11" i="8" l="1"/>
  <c r="L171" i="8" l="1"/>
  <c r="K171" i="8"/>
  <c r="J171" i="8"/>
  <c r="I171" i="8"/>
  <c r="H171" i="8"/>
  <c r="G171" i="8"/>
  <c r="F171" i="8"/>
  <c r="E171" i="8"/>
  <c r="D171" i="8"/>
  <c r="L199" i="8" l="1"/>
  <c r="K199" i="8"/>
  <c r="J199" i="8"/>
  <c r="I199" i="8"/>
  <c r="H199" i="8"/>
  <c r="G199" i="8"/>
  <c r="F199" i="8"/>
  <c r="E199" i="8"/>
  <c r="D11" i="8" l="1"/>
  <c r="F11" i="8" l="1"/>
  <c r="G11" i="8"/>
  <c r="H11" i="8"/>
  <c r="I11" i="8"/>
  <c r="J11" i="8"/>
  <c r="K11" i="8"/>
  <c r="L11" i="8"/>
  <c r="D21" i="8"/>
  <c r="E20" i="8"/>
  <c r="E21" i="8" s="1"/>
  <c r="F20" i="8"/>
  <c r="G20" i="8"/>
  <c r="H20" i="8"/>
  <c r="I20" i="8"/>
  <c r="J20" i="8"/>
  <c r="K20" i="8"/>
  <c r="L20" i="8"/>
  <c r="D31" i="8"/>
  <c r="E31" i="8"/>
  <c r="F31" i="8"/>
  <c r="G31" i="8"/>
  <c r="H31" i="8"/>
  <c r="I31" i="8"/>
  <c r="J31" i="8"/>
  <c r="K31" i="8"/>
  <c r="L31" i="8"/>
  <c r="I131" i="8"/>
  <c r="G52" i="8"/>
  <c r="K179" i="8"/>
  <c r="L179" i="8"/>
  <c r="J179" i="8"/>
  <c r="I179" i="8"/>
  <c r="H179" i="8"/>
  <c r="G179" i="8"/>
  <c r="F179" i="8"/>
  <c r="E179" i="8"/>
  <c r="D179" i="8"/>
  <c r="L150" i="8"/>
  <c r="K150" i="8"/>
  <c r="J150" i="8"/>
  <c r="I150" i="8"/>
  <c r="H150" i="8"/>
  <c r="G150" i="8"/>
  <c r="F150" i="8"/>
  <c r="E150" i="8"/>
  <c r="D150" i="8"/>
  <c r="D161" i="8" s="1"/>
  <c r="L139" i="8"/>
  <c r="K139" i="8"/>
  <c r="J139" i="8"/>
  <c r="I139" i="8"/>
  <c r="H139" i="8"/>
  <c r="G139" i="8"/>
  <c r="F139" i="8"/>
  <c r="D139" i="8"/>
  <c r="L131" i="8"/>
  <c r="K131" i="8"/>
  <c r="J131" i="8"/>
  <c r="H131" i="8"/>
  <c r="G131" i="8"/>
  <c r="F131" i="8"/>
  <c r="E131" i="8"/>
  <c r="D131" i="8"/>
  <c r="L119" i="8"/>
  <c r="K119" i="8"/>
  <c r="J119" i="8"/>
  <c r="I119" i="8"/>
  <c r="H119" i="8"/>
  <c r="G119" i="8"/>
  <c r="F119" i="8"/>
  <c r="E119" i="8"/>
  <c r="D119" i="8"/>
  <c r="L110" i="8"/>
  <c r="K110" i="8"/>
  <c r="J110" i="8"/>
  <c r="I110" i="8"/>
  <c r="H110" i="8"/>
  <c r="G110" i="8"/>
  <c r="F110" i="8"/>
  <c r="E110" i="8"/>
  <c r="D110" i="8"/>
  <c r="L98" i="8"/>
  <c r="K98" i="8"/>
  <c r="J98" i="8"/>
  <c r="I98" i="8"/>
  <c r="H98" i="8"/>
  <c r="G98" i="8"/>
  <c r="F98" i="8"/>
  <c r="E98" i="8"/>
  <c r="D98" i="8"/>
  <c r="L59" i="8"/>
  <c r="K59" i="8"/>
  <c r="J59" i="8"/>
  <c r="I59" i="8"/>
  <c r="H59" i="8"/>
  <c r="G59" i="8"/>
  <c r="F59" i="8"/>
  <c r="E59" i="8"/>
  <c r="D59" i="8"/>
  <c r="L52" i="8"/>
  <c r="K52" i="8"/>
  <c r="J52" i="8"/>
  <c r="I52" i="8"/>
  <c r="H52" i="8"/>
  <c r="F52" i="8"/>
  <c r="E52" i="8"/>
  <c r="D52" i="8"/>
  <c r="I21" i="8" l="1"/>
  <c r="K41" i="8"/>
  <c r="G21" i="8"/>
  <c r="I41" i="8"/>
  <c r="E41" i="8"/>
  <c r="J41" i="8"/>
  <c r="L21" i="8"/>
  <c r="H21" i="8"/>
  <c r="J21" i="8"/>
  <c r="F21" i="8"/>
  <c r="H41" i="8"/>
  <c r="F41" i="8"/>
  <c r="K21" i="8"/>
  <c r="D41" i="8"/>
  <c r="G41" i="8"/>
  <c r="L41" i="8"/>
  <c r="D200" i="8"/>
  <c r="D60" i="8"/>
  <c r="E60" i="8"/>
  <c r="F60" i="8"/>
  <c r="G60" i="8"/>
  <c r="H60" i="8"/>
  <c r="I60" i="8"/>
  <c r="J60" i="8"/>
  <c r="K60" i="8"/>
  <c r="L60" i="8"/>
  <c r="D81" i="8"/>
  <c r="E81" i="8"/>
  <c r="F81" i="8"/>
  <c r="G81" i="8"/>
  <c r="H81" i="8"/>
  <c r="I81" i="8"/>
  <c r="J81" i="8"/>
  <c r="K81" i="8"/>
  <c r="L81" i="8"/>
  <c r="D99" i="8"/>
  <c r="E99" i="8"/>
  <c r="F99" i="8"/>
  <c r="G99" i="8"/>
  <c r="H99" i="8"/>
  <c r="I99" i="8"/>
  <c r="J99" i="8"/>
  <c r="K99" i="8"/>
  <c r="L99" i="8"/>
  <c r="D120" i="8"/>
  <c r="E120" i="8"/>
  <c r="F120" i="8"/>
  <c r="G120" i="8"/>
  <c r="H120" i="8"/>
  <c r="I120" i="8"/>
  <c r="J120" i="8"/>
  <c r="K120" i="8"/>
  <c r="L120" i="8"/>
  <c r="D140" i="8"/>
  <c r="E140" i="8"/>
  <c r="F140" i="8"/>
  <c r="G140" i="8"/>
  <c r="H140" i="8"/>
  <c r="I140" i="8"/>
  <c r="J140" i="8"/>
  <c r="K140" i="8"/>
  <c r="L140" i="8"/>
  <c r="E161" i="8"/>
  <c r="F161" i="8"/>
  <c r="G161" i="8"/>
  <c r="H161" i="8"/>
  <c r="I161" i="8"/>
  <c r="J161" i="8"/>
  <c r="K161" i="8"/>
  <c r="L161" i="8"/>
  <c r="D180" i="8"/>
  <c r="E180" i="8"/>
  <c r="F180" i="8"/>
  <c r="G180" i="8"/>
  <c r="H180" i="8"/>
  <c r="I180" i="8"/>
  <c r="J180" i="8"/>
  <c r="K180" i="8"/>
  <c r="L180" i="8"/>
  <c r="E200" i="8"/>
  <c r="F200" i="8"/>
  <c r="G200" i="8"/>
  <c r="H200" i="8"/>
  <c r="I200" i="8"/>
  <c r="J200" i="8"/>
  <c r="K200" i="8"/>
  <c r="L200" i="8"/>
  <c r="E201" i="8" l="1"/>
  <c r="E202" i="8" s="1"/>
  <c r="I201" i="8"/>
  <c r="I202" i="8" s="1"/>
  <c r="L201" i="8"/>
  <c r="L202" i="8" s="1"/>
  <c r="K201" i="8"/>
  <c r="K202" i="8" s="1"/>
  <c r="G201" i="8"/>
  <c r="G202" i="8" s="1"/>
  <c r="H201" i="8"/>
  <c r="H202" i="8" s="1"/>
  <c r="J201" i="8"/>
  <c r="J202" i="8" s="1"/>
  <c r="F201" i="8"/>
  <c r="F202" i="8" s="1"/>
  <c r="D201" i="8"/>
  <c r="D202" i="8" s="1"/>
</calcChain>
</file>

<file path=xl/sharedStrings.xml><?xml version="1.0" encoding="utf-8"?>
<sst xmlns="http://schemas.openxmlformats.org/spreadsheetml/2006/main" count="842" uniqueCount="126">
  <si>
    <t>Наименование блюда</t>
  </si>
  <si>
    <t>Обед</t>
  </si>
  <si>
    <t>Итого обед:</t>
  </si>
  <si>
    <t>Всего:</t>
  </si>
  <si>
    <t>№, рецептура</t>
  </si>
  <si>
    <t>День 2</t>
  </si>
  <si>
    <t>День 1</t>
  </si>
  <si>
    <t>День 3</t>
  </si>
  <si>
    <t>День 4</t>
  </si>
  <si>
    <t>День 5</t>
  </si>
  <si>
    <t>СРЕДНЕЕ ЗА 1ДЕНЬ:</t>
  </si>
  <si>
    <t>ВСЕГО за 10 дней:</t>
  </si>
  <si>
    <t>Пищевая ценность</t>
  </si>
  <si>
    <t>420/2016</t>
  </si>
  <si>
    <t>18/2016</t>
  </si>
  <si>
    <t>132/2016</t>
  </si>
  <si>
    <t>19/2016</t>
  </si>
  <si>
    <t>403/2016</t>
  </si>
  <si>
    <t>122/2016</t>
  </si>
  <si>
    <t>13/2016</t>
  </si>
  <si>
    <t xml:space="preserve">  Обед</t>
  </si>
  <si>
    <t>День 6</t>
  </si>
  <si>
    <t>День 7</t>
  </si>
  <si>
    <t>День 8</t>
  </si>
  <si>
    <t>День 9</t>
  </si>
  <si>
    <t>День 10</t>
  </si>
  <si>
    <t>349/2017</t>
  </si>
  <si>
    <t xml:space="preserve">Завтрак </t>
  </si>
  <si>
    <t>Итого завтрак:</t>
  </si>
  <si>
    <t>226/2016</t>
  </si>
  <si>
    <t xml:space="preserve">           * Овощи натуральные - допускается использование иных овещей ;     ** Фрукт свежий - допускается выдача иных фруктов;     *** Кисломолочный продукт - допускается использование иного кисломолоч. продукта ;</t>
  </si>
  <si>
    <t>Масса порций, г.</t>
  </si>
  <si>
    <t>белки, г.</t>
  </si>
  <si>
    <t>жиры, г.</t>
  </si>
  <si>
    <t>углеводы, г.</t>
  </si>
  <si>
    <t>Энергетическая ценность, ккал.</t>
  </si>
  <si>
    <t>Вит. С, мг.</t>
  </si>
  <si>
    <t>Ca, мг.</t>
  </si>
  <si>
    <t>Mg, мг.</t>
  </si>
  <si>
    <t>Икра из кабачков (консервы)</t>
  </si>
  <si>
    <t>Fе, мг.</t>
  </si>
  <si>
    <t>Макароны, запеченные с сыром</t>
  </si>
  <si>
    <t>Хлеб пшеничный</t>
  </si>
  <si>
    <t>Хлеб ржаной</t>
  </si>
  <si>
    <t>Каша рисовая молочная жидкая</t>
  </si>
  <si>
    <t>Чай с сахаром</t>
  </si>
  <si>
    <t>193/2016</t>
  </si>
  <si>
    <t>Какао с молоком</t>
  </si>
  <si>
    <t>Плов из птицы</t>
  </si>
  <si>
    <t>Суп картофельный с горохом</t>
  </si>
  <si>
    <t>Каша гречневая</t>
  </si>
  <si>
    <t>415/2016</t>
  </si>
  <si>
    <t>Масло сливочное</t>
  </si>
  <si>
    <t xml:space="preserve">Омлет натуральный </t>
  </si>
  <si>
    <t>210/2016</t>
  </si>
  <si>
    <t>484/2016</t>
  </si>
  <si>
    <t>Сок фруктовый</t>
  </si>
  <si>
    <t>ТТК</t>
  </si>
  <si>
    <t>131/2010</t>
  </si>
  <si>
    <t>303/2017</t>
  </si>
  <si>
    <t>Рассольник Ленинградский</t>
  </si>
  <si>
    <t>Паста сливочная</t>
  </si>
  <si>
    <t>406/2022</t>
  </si>
  <si>
    <t>Каша жидкая молочная  геркулесовая</t>
  </si>
  <si>
    <t>7,46/2010</t>
  </si>
  <si>
    <t>ПП</t>
  </si>
  <si>
    <t>Фрукт свежий (по сезону)</t>
  </si>
  <si>
    <t>182/2017</t>
  </si>
  <si>
    <t>15/2017</t>
  </si>
  <si>
    <t>70/71/2015</t>
  </si>
  <si>
    <t>Запеканка из творога с морковью со сметаной</t>
  </si>
  <si>
    <t>Горошек консервированный</t>
  </si>
  <si>
    <t>22/2016</t>
  </si>
  <si>
    <t xml:space="preserve">Котлета (биточки) рыбные </t>
  </si>
  <si>
    <t>Картофельное пюре</t>
  </si>
  <si>
    <t xml:space="preserve">Кофейный напиток </t>
  </si>
  <si>
    <t>Компот из сухофруктов</t>
  </si>
  <si>
    <t xml:space="preserve">                    Основное меню   для детей  1-4 классов  </t>
  </si>
  <si>
    <t>8,9/2011</t>
  </si>
  <si>
    <t xml:space="preserve">Свекольник </t>
  </si>
  <si>
    <t xml:space="preserve">Голубцы ленивые с соусом </t>
  </si>
  <si>
    <t xml:space="preserve">Овощи натуральные по сезону </t>
  </si>
  <si>
    <t>238/2016</t>
  </si>
  <si>
    <t>Омлет паровой с мясом</t>
  </si>
  <si>
    <t>Кондитерское изделие (печенье)</t>
  </si>
  <si>
    <t>Сыр (порциями)</t>
  </si>
  <si>
    <t>451/2016</t>
  </si>
  <si>
    <t>Компот из яблок</t>
  </si>
  <si>
    <t>Вареники с картофелем и сметаной</t>
  </si>
  <si>
    <t>891/2022</t>
  </si>
  <si>
    <t>Икра свекольная</t>
  </si>
  <si>
    <t>234/2017</t>
  </si>
  <si>
    <t>224/2017</t>
  </si>
  <si>
    <t>54-3гн/2022</t>
  </si>
  <si>
    <t>Чай с лимоном и сахаром</t>
  </si>
  <si>
    <t>379/2017</t>
  </si>
  <si>
    <t>643/2022</t>
  </si>
  <si>
    <t>Батон пшеничный</t>
  </si>
  <si>
    <t>Оладьи из печени</t>
  </si>
  <si>
    <t>404/2021</t>
  </si>
  <si>
    <t>352/2011</t>
  </si>
  <si>
    <t>Кисель из яблок</t>
  </si>
  <si>
    <t xml:space="preserve">Плов из риса с курагой </t>
  </si>
  <si>
    <t>378/2022</t>
  </si>
  <si>
    <t>462/2016</t>
  </si>
  <si>
    <t>Кисломолочный продукт</t>
  </si>
  <si>
    <t>47/2015</t>
  </si>
  <si>
    <t>Салат из квашеной капусты</t>
  </si>
  <si>
    <t>Суп картофельный с горохом и птицей</t>
  </si>
  <si>
    <t>120/2017</t>
  </si>
  <si>
    <t>Суп молочный с макар.изделиями</t>
  </si>
  <si>
    <t>291/2017</t>
  </si>
  <si>
    <t>159/2016</t>
  </si>
  <si>
    <t>Щи зеленые со сметаной</t>
  </si>
  <si>
    <t>Щи из квашеной капусты</t>
  </si>
  <si>
    <t>Каша вязкая Артек</t>
  </si>
  <si>
    <t>92/2017</t>
  </si>
  <si>
    <t>54-32з</t>
  </si>
  <si>
    <t>Морковные палочки</t>
  </si>
  <si>
    <t>223/2017</t>
  </si>
  <si>
    <t>Запеканка из творога</t>
  </si>
  <si>
    <t>82/2017</t>
  </si>
  <si>
    <t>Борщ с капустой и картофелем со сметаной</t>
  </si>
  <si>
    <t>203/2012</t>
  </si>
  <si>
    <t>Гречка по-купечески с мясом</t>
  </si>
  <si>
    <t xml:space="preserve">                    Основное меню   для детей  5-11 классов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</si>
</sst>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5">
    <xf numFmtId="0" fontId="0" fillId="0" borderId="0" xfId="0"/>
    <xf numFmtId="0" fontId="3" fillId="0" borderId="5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left" vertical="center" wrapText="1"/>
    </xf>
    <xf numFmtId="2" fontId="5" fillId="0" borderId="10" xfId="0" applyNumberFormat="1" applyFont="1" applyFill="1" applyBorder="1" applyAlignment="1">
      <alignment horizontal="left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left" vertical="center" wrapText="1"/>
    </xf>
    <xf numFmtId="1" fontId="6" fillId="0" borderId="10" xfId="0" applyNumberFormat="1" applyFont="1" applyFill="1" applyBorder="1" applyAlignment="1">
      <alignment horizontal="left" vertical="center" wrapText="1"/>
    </xf>
    <xf numFmtId="2" fontId="6" fillId="0" borderId="11" xfId="0" applyNumberFormat="1" applyFont="1" applyFill="1" applyBorder="1" applyAlignment="1">
      <alignment horizontal="left" vertical="center" wrapText="1"/>
    </xf>
    <xf numFmtId="2" fontId="4" fillId="0" borderId="16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2" fontId="3" fillId="0" borderId="10" xfId="0" applyNumberFormat="1" applyFont="1" applyFill="1" applyBorder="1" applyAlignment="1">
      <alignment horizontal="left" vertical="center" wrapText="1"/>
    </xf>
    <xf numFmtId="2" fontId="3" fillId="0" borderId="1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49" fontId="5" fillId="0" borderId="6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left" vertical="center"/>
    </xf>
    <xf numFmtId="2" fontId="4" fillId="0" borderId="4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left" vertical="center" wrapText="1"/>
    </xf>
    <xf numFmtId="2" fontId="6" fillId="0" borderId="4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vertical="center" wrapText="1"/>
    </xf>
    <xf numFmtId="1" fontId="6" fillId="0" borderId="10" xfId="0" applyNumberFormat="1" applyFont="1" applyFill="1" applyBorder="1" applyAlignment="1">
      <alignment vertical="center" wrapText="1"/>
    </xf>
    <xf numFmtId="2" fontId="6" fillId="0" borderId="10" xfId="0" applyNumberFormat="1" applyFont="1" applyFill="1" applyBorder="1" applyAlignment="1">
      <alignment vertical="center" wrapText="1"/>
    </xf>
    <xf numFmtId="2" fontId="6" fillId="0" borderId="2" xfId="0" applyNumberFormat="1" applyFont="1" applyFill="1" applyBorder="1" applyAlignment="1">
      <alignment vertical="center" wrapText="1"/>
    </xf>
    <xf numFmtId="2" fontId="6" fillId="0" borderId="4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left"/>
    </xf>
    <xf numFmtId="1" fontId="6" fillId="0" borderId="5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left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6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vertical="center" wrapText="1"/>
    </xf>
    <xf numFmtId="2" fontId="5" fillId="0" borderId="2" xfId="0" applyNumberFormat="1" applyFont="1" applyFill="1" applyBorder="1"/>
    <xf numFmtId="2" fontId="5" fillId="0" borderId="4" xfId="0" applyNumberFormat="1" applyFont="1" applyFill="1" applyBorder="1"/>
    <xf numFmtId="49" fontId="4" fillId="0" borderId="1" xfId="0" applyNumberFormat="1" applyFont="1" applyFill="1" applyBorder="1" applyAlignment="1">
      <alignment wrapText="1"/>
    </xf>
    <xf numFmtId="49" fontId="4" fillId="0" borderId="3" xfId="0" applyNumberFormat="1" applyFont="1" applyFill="1" applyBorder="1" applyAlignment="1">
      <alignment wrapText="1"/>
    </xf>
    <xf numFmtId="1" fontId="7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2" fontId="6" fillId="0" borderId="10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left"/>
    </xf>
    <xf numFmtId="1" fontId="6" fillId="0" borderId="6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left"/>
    </xf>
    <xf numFmtId="1" fontId="6" fillId="0" borderId="3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0" fontId="5" fillId="0" borderId="6" xfId="0" applyFont="1" applyFill="1" applyBorder="1"/>
    <xf numFmtId="2" fontId="4" fillId="0" borderId="0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/>
    </xf>
    <xf numFmtId="2" fontId="3" fillId="0" borderId="14" xfId="1" applyNumberFormat="1" applyFont="1" applyFill="1" applyBorder="1" applyAlignment="1">
      <alignment horizontal="left"/>
    </xf>
    <xf numFmtId="49" fontId="5" fillId="0" borderId="13" xfId="0" applyNumberFormat="1" applyFont="1" applyFill="1" applyBorder="1" applyAlignment="1">
      <alignment horizontal="center"/>
    </xf>
    <xf numFmtId="2" fontId="3" fillId="0" borderId="15" xfId="1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left" wrapText="1"/>
    </xf>
    <xf numFmtId="1" fontId="4" fillId="0" borderId="3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center" wrapText="1"/>
    </xf>
    <xf numFmtId="2" fontId="4" fillId="0" borderId="6" xfId="0" applyNumberFormat="1" applyFont="1" applyFill="1" applyBorder="1" applyAlignment="1">
      <alignment horizontal="center" wrapText="1"/>
    </xf>
    <xf numFmtId="2" fontId="4" fillId="0" borderId="10" xfId="0" applyNumberFormat="1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wrapText="1"/>
    </xf>
    <xf numFmtId="165" fontId="6" fillId="0" borderId="3" xfId="0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 wrapText="1"/>
    </xf>
    <xf numFmtId="2" fontId="6" fillId="0" borderId="7" xfId="0" applyNumberFormat="1" applyFont="1" applyFill="1" applyBorder="1" applyAlignment="1">
      <alignment horizontal="left"/>
    </xf>
    <xf numFmtId="1" fontId="6" fillId="0" borderId="7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wrapText="1"/>
    </xf>
    <xf numFmtId="49" fontId="5" fillId="0" borderId="6" xfId="0" applyNumberFormat="1" applyFont="1" applyFill="1" applyBorder="1"/>
    <xf numFmtId="0" fontId="6" fillId="0" borderId="6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left"/>
    </xf>
    <xf numFmtId="49" fontId="6" fillId="0" borderId="16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2" fontId="6" fillId="0" borderId="0" xfId="0" applyNumberFormat="1" applyFont="1" applyFill="1" applyAlignment="1">
      <alignment horizontal="left"/>
    </xf>
    <xf numFmtId="2" fontId="6" fillId="0" borderId="0" xfId="0" applyNumberFormat="1" applyFont="1" applyFill="1" applyAlignment="1">
      <alignment horizontal="center"/>
    </xf>
    <xf numFmtId="49" fontId="6" fillId="0" borderId="6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left" wrapText="1"/>
    </xf>
    <xf numFmtId="1" fontId="6" fillId="0" borderId="6" xfId="0" applyNumberFormat="1" applyFont="1" applyFill="1" applyBorder="1" applyAlignment="1">
      <alignment horizontal="center" wrapText="1"/>
    </xf>
    <xf numFmtId="2" fontId="6" fillId="0" borderId="6" xfId="0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49" fontId="6" fillId="0" borderId="5" xfId="0" applyNumberFormat="1" applyFont="1" applyFill="1" applyBorder="1" applyAlignment="1">
      <alignment horizontal="left" wrapText="1"/>
    </xf>
    <xf numFmtId="1" fontId="6" fillId="0" borderId="10" xfId="0" applyNumberFormat="1" applyFont="1" applyFill="1" applyBorder="1" applyAlignment="1">
      <alignment horizontal="center"/>
    </xf>
    <xf numFmtId="165" fontId="6" fillId="0" borderId="10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left" vertical="center"/>
    </xf>
    <xf numFmtId="1" fontId="4" fillId="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left"/>
    </xf>
    <xf numFmtId="1" fontId="6" fillId="0" borderId="8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wrapText="1"/>
    </xf>
  </cellXfs>
  <cellStyles count="3">
    <cellStyle name="Обычный" xfId="0" builtinId="0"/>
    <cellStyle name="Обычный 101" xfId="2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1"/>
  <sheetViews>
    <sheetView tabSelected="1" view="pageBreakPreview" topLeftCell="A182" zoomScale="78" zoomScaleNormal="78" zoomScaleSheetLayoutView="78" workbookViewId="0">
      <selection activeCell="C192" sqref="C192:H199"/>
    </sheetView>
  </sheetViews>
  <sheetFormatPr defaultColWidth="9.109375" defaultRowHeight="39.75" customHeight="1" x14ac:dyDescent="0.4"/>
  <cols>
    <col min="1" max="1" width="4" style="20" customWidth="1"/>
    <col min="2" max="2" width="32" style="93" customWidth="1"/>
    <col min="3" max="3" width="61.88671875" style="92" customWidth="1"/>
    <col min="4" max="4" width="24.44140625" style="93" customWidth="1"/>
    <col min="5" max="5" width="23.44140625" style="93" customWidth="1"/>
    <col min="6" max="6" width="24" style="93" customWidth="1"/>
    <col min="7" max="7" width="22.33203125" style="93" customWidth="1"/>
    <col min="8" max="8" width="25.44140625" style="93" customWidth="1"/>
    <col min="9" max="9" width="22.33203125" style="93" customWidth="1"/>
    <col min="10" max="10" width="21.33203125" style="93" customWidth="1"/>
    <col min="11" max="11" width="21" style="94" customWidth="1"/>
    <col min="12" max="12" width="22" style="93" customWidth="1"/>
    <col min="13" max="13" width="8" style="20" customWidth="1"/>
    <col min="14" max="16384" width="9.109375" style="20"/>
  </cols>
  <sheetData>
    <row r="1" spans="2:12" ht="30" customHeight="1" thickBot="1" x14ac:dyDescent="0.45"/>
    <row r="2" spans="2:12" ht="31.5" customHeight="1" thickBot="1" x14ac:dyDescent="0.45">
      <c r="B2" s="160" t="s">
        <v>77</v>
      </c>
      <c r="C2" s="161"/>
      <c r="D2" s="161"/>
      <c r="E2" s="161"/>
      <c r="F2" s="161"/>
      <c r="G2" s="161"/>
      <c r="H2" s="161"/>
      <c r="I2" s="161"/>
      <c r="J2" s="161"/>
      <c r="K2" s="161"/>
      <c r="L2" s="162"/>
    </row>
    <row r="3" spans="2:12" ht="28.5" customHeight="1" thickBot="1" x14ac:dyDescent="0.45">
      <c r="B3" s="1" t="s">
        <v>6</v>
      </c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2:12" ht="21.75" customHeight="1" thickBot="1" x14ac:dyDescent="0.45">
      <c r="B4" s="166" t="s">
        <v>4</v>
      </c>
      <c r="C4" s="166" t="s">
        <v>0</v>
      </c>
      <c r="D4" s="166" t="s">
        <v>31</v>
      </c>
      <c r="E4" s="163" t="s">
        <v>12</v>
      </c>
      <c r="F4" s="164"/>
      <c r="G4" s="164"/>
      <c r="H4" s="165"/>
      <c r="I4" s="168" t="s">
        <v>36</v>
      </c>
      <c r="J4" s="170" t="s">
        <v>37</v>
      </c>
      <c r="K4" s="170" t="s">
        <v>38</v>
      </c>
      <c r="L4" s="170" t="s">
        <v>40</v>
      </c>
    </row>
    <row r="5" spans="2:12" ht="59.25" customHeight="1" thickBot="1" x14ac:dyDescent="0.45">
      <c r="B5" s="167"/>
      <c r="C5" s="167"/>
      <c r="D5" s="167"/>
      <c r="E5" s="23" t="s">
        <v>32</v>
      </c>
      <c r="F5" s="23" t="s">
        <v>33</v>
      </c>
      <c r="G5" s="23" t="s">
        <v>34</v>
      </c>
      <c r="H5" s="23" t="s">
        <v>35</v>
      </c>
      <c r="I5" s="169"/>
      <c r="J5" s="171"/>
      <c r="K5" s="171"/>
      <c r="L5" s="171"/>
    </row>
    <row r="6" spans="2:12" ht="27.75" customHeight="1" thickBot="1" x14ac:dyDescent="0.45">
      <c r="B6" s="24" t="s">
        <v>27</v>
      </c>
      <c r="C6" s="25"/>
      <c r="D6" s="26"/>
      <c r="E6" s="26"/>
      <c r="F6" s="26"/>
      <c r="G6" s="26"/>
      <c r="H6" s="26"/>
      <c r="I6" s="26"/>
      <c r="J6" s="26"/>
      <c r="K6" s="26"/>
      <c r="L6" s="27"/>
    </row>
    <row r="7" spans="2:12" ht="29.25" customHeight="1" thickBot="1" x14ac:dyDescent="0.45">
      <c r="B7" s="35" t="s">
        <v>92</v>
      </c>
      <c r="C7" s="14" t="s">
        <v>70</v>
      </c>
      <c r="D7" s="36">
        <v>170</v>
      </c>
      <c r="E7" s="6">
        <v>17.7</v>
      </c>
      <c r="F7" s="6">
        <v>16.78</v>
      </c>
      <c r="G7" s="6">
        <v>42</v>
      </c>
      <c r="H7" s="6">
        <v>444.43</v>
      </c>
      <c r="I7" s="12">
        <v>1.36</v>
      </c>
      <c r="J7" s="12">
        <v>291.57</v>
      </c>
      <c r="K7" s="12">
        <v>45.82</v>
      </c>
      <c r="L7" s="7">
        <v>1.1399999999999999</v>
      </c>
    </row>
    <row r="8" spans="2:12" ht="27.75" customHeight="1" thickBot="1" x14ac:dyDescent="0.45">
      <c r="B8" s="35" t="s">
        <v>14</v>
      </c>
      <c r="C8" s="14" t="s">
        <v>42</v>
      </c>
      <c r="D8" s="36">
        <v>30</v>
      </c>
      <c r="E8" s="6">
        <v>2.2799999999999998</v>
      </c>
      <c r="F8" s="6">
        <v>0.24</v>
      </c>
      <c r="G8" s="6">
        <v>14.76</v>
      </c>
      <c r="H8" s="6">
        <v>70.5</v>
      </c>
      <c r="I8" s="12">
        <v>0</v>
      </c>
      <c r="J8" s="12">
        <v>6.9</v>
      </c>
      <c r="K8" s="12">
        <v>9.9</v>
      </c>
      <c r="L8" s="7">
        <v>0.56999999999999995</v>
      </c>
    </row>
    <row r="9" spans="2:12" ht="30" customHeight="1" thickBot="1" x14ac:dyDescent="0.45">
      <c r="B9" s="9" t="s">
        <v>93</v>
      </c>
      <c r="C9" s="10" t="s">
        <v>94</v>
      </c>
      <c r="D9" s="11">
        <v>200</v>
      </c>
      <c r="E9" s="12">
        <v>0.06</v>
      </c>
      <c r="F9" s="12">
        <v>0.01</v>
      </c>
      <c r="G9" s="12">
        <v>7.2</v>
      </c>
      <c r="H9" s="12">
        <v>30.31</v>
      </c>
      <c r="I9" s="12">
        <v>2.85</v>
      </c>
      <c r="J9" s="12">
        <v>5.49</v>
      </c>
      <c r="K9" s="13">
        <v>3.04</v>
      </c>
      <c r="L9" s="7">
        <v>0.47</v>
      </c>
    </row>
    <row r="10" spans="2:12" ht="28.5" customHeight="1" thickBot="1" x14ac:dyDescent="0.45">
      <c r="B10" s="9" t="s">
        <v>17</v>
      </c>
      <c r="C10" s="28" t="s">
        <v>66</v>
      </c>
      <c r="D10" s="36">
        <v>100</v>
      </c>
      <c r="E10" s="6">
        <v>0.4</v>
      </c>
      <c r="F10" s="6">
        <v>0.4</v>
      </c>
      <c r="G10" s="6">
        <v>9.8000000000000007</v>
      </c>
      <c r="H10" s="6">
        <v>47</v>
      </c>
      <c r="I10" s="6">
        <v>10</v>
      </c>
      <c r="J10" s="6">
        <v>16</v>
      </c>
      <c r="K10" s="13">
        <v>9</v>
      </c>
      <c r="L10" s="7">
        <v>2.2000000000000002</v>
      </c>
    </row>
    <row r="11" spans="2:12" ht="32.25" customHeight="1" thickBot="1" x14ac:dyDescent="0.45">
      <c r="B11" s="130"/>
      <c r="C11" s="67" t="s">
        <v>28</v>
      </c>
      <c r="D11" s="99">
        <f t="shared" ref="D11:L11" si="0">SUM(D7:D10)</f>
        <v>500</v>
      </c>
      <c r="E11" s="131">
        <f t="shared" si="0"/>
        <v>20.439999999999998</v>
      </c>
      <c r="F11" s="64">
        <f t="shared" si="0"/>
        <v>17.43</v>
      </c>
      <c r="G11" s="64">
        <f t="shared" si="0"/>
        <v>73.760000000000005</v>
      </c>
      <c r="H11" s="64">
        <f t="shared" si="0"/>
        <v>592.24</v>
      </c>
      <c r="I11" s="64">
        <f t="shared" si="0"/>
        <v>14.21</v>
      </c>
      <c r="J11" s="64">
        <f t="shared" si="0"/>
        <v>319.95999999999998</v>
      </c>
      <c r="K11" s="64">
        <f t="shared" si="0"/>
        <v>67.759999999999991</v>
      </c>
      <c r="L11" s="64">
        <f t="shared" si="0"/>
        <v>4.38</v>
      </c>
    </row>
    <row r="12" spans="2:12" ht="28.95" customHeight="1" thickBot="1" x14ac:dyDescent="0.45">
      <c r="B12" s="29" t="s">
        <v>1</v>
      </c>
      <c r="C12" s="30"/>
      <c r="D12" s="31"/>
      <c r="E12" s="30"/>
      <c r="F12" s="30"/>
      <c r="G12" s="30"/>
      <c r="H12" s="30"/>
      <c r="I12" s="30"/>
      <c r="J12" s="30"/>
      <c r="K12" s="30"/>
      <c r="L12" s="32"/>
    </row>
    <row r="13" spans="2:12" ht="27" customHeight="1" thickBot="1" x14ac:dyDescent="0.45">
      <c r="B13" s="3" t="s">
        <v>106</v>
      </c>
      <c r="C13" s="4" t="s">
        <v>107</v>
      </c>
      <c r="D13" s="5">
        <v>60</v>
      </c>
      <c r="E13" s="33">
        <v>0.96</v>
      </c>
      <c r="F13" s="33">
        <v>3.06</v>
      </c>
      <c r="G13" s="33">
        <v>1.95</v>
      </c>
      <c r="H13" s="33">
        <v>40.61</v>
      </c>
      <c r="I13" s="16">
        <v>11.89</v>
      </c>
      <c r="J13" s="17">
        <v>31.34</v>
      </c>
      <c r="K13" s="18">
        <v>9.61</v>
      </c>
      <c r="L13" s="34">
        <v>0.4</v>
      </c>
    </row>
    <row r="14" spans="2:12" ht="29.25" customHeight="1" thickBot="1" x14ac:dyDescent="0.45">
      <c r="B14" s="35" t="s">
        <v>58</v>
      </c>
      <c r="C14" s="14" t="s">
        <v>79</v>
      </c>
      <c r="D14" s="36">
        <v>200</v>
      </c>
      <c r="E14" s="6">
        <v>1.87</v>
      </c>
      <c r="F14" s="6">
        <v>4.2</v>
      </c>
      <c r="G14" s="6">
        <v>13.78</v>
      </c>
      <c r="H14" s="7">
        <v>97.07</v>
      </c>
      <c r="I14" s="18">
        <v>13.59</v>
      </c>
      <c r="J14" s="26">
        <v>35.24</v>
      </c>
      <c r="K14" s="18">
        <v>24.39</v>
      </c>
      <c r="L14" s="27">
        <v>1.21</v>
      </c>
    </row>
    <row r="15" spans="2:12" ht="28.5" customHeight="1" thickBot="1" x14ac:dyDescent="0.45">
      <c r="B15" s="37" t="s">
        <v>91</v>
      </c>
      <c r="C15" s="28" t="s">
        <v>73</v>
      </c>
      <c r="D15" s="15">
        <v>100</v>
      </c>
      <c r="E15" s="16">
        <v>10.63</v>
      </c>
      <c r="F15" s="16">
        <v>12.64</v>
      </c>
      <c r="G15" s="16">
        <v>13.07</v>
      </c>
      <c r="H15" s="7">
        <v>209.45</v>
      </c>
      <c r="I15" s="7">
        <v>0.54</v>
      </c>
      <c r="J15" s="17">
        <v>60.77</v>
      </c>
      <c r="K15" s="18">
        <v>33.950000000000003</v>
      </c>
      <c r="L15" s="27">
        <v>1.2</v>
      </c>
    </row>
    <row r="16" spans="2:12" ht="27.75" customHeight="1" thickBot="1" x14ac:dyDescent="0.45">
      <c r="B16" s="35" t="s">
        <v>59</v>
      </c>
      <c r="C16" s="14" t="s">
        <v>50</v>
      </c>
      <c r="D16" s="36">
        <v>150</v>
      </c>
      <c r="E16" s="6">
        <v>4</v>
      </c>
      <c r="F16" s="6">
        <v>4.24</v>
      </c>
      <c r="G16" s="6">
        <v>24.55</v>
      </c>
      <c r="H16" s="33">
        <v>152.4</v>
      </c>
      <c r="I16" s="16">
        <v>0</v>
      </c>
      <c r="J16" s="38">
        <v>10.53</v>
      </c>
      <c r="K16" s="39">
        <v>99.9</v>
      </c>
      <c r="L16" s="34">
        <v>3.36</v>
      </c>
    </row>
    <row r="17" spans="2:16" ht="27.75" customHeight="1" thickBot="1" x14ac:dyDescent="0.45">
      <c r="B17" s="35" t="s">
        <v>55</v>
      </c>
      <c r="C17" s="14" t="s">
        <v>56</v>
      </c>
      <c r="D17" s="36">
        <v>180</v>
      </c>
      <c r="E17" s="6">
        <v>0.9</v>
      </c>
      <c r="F17" s="6">
        <v>0.18</v>
      </c>
      <c r="G17" s="6">
        <v>18.18</v>
      </c>
      <c r="H17" s="6">
        <v>82.8</v>
      </c>
      <c r="I17" s="16">
        <v>3.6</v>
      </c>
      <c r="J17" s="38">
        <v>12.6</v>
      </c>
      <c r="K17" s="39">
        <v>7.2</v>
      </c>
      <c r="L17" s="34">
        <v>2.52</v>
      </c>
    </row>
    <row r="18" spans="2:16" ht="28.5" customHeight="1" thickBot="1" x14ac:dyDescent="0.45">
      <c r="B18" s="9" t="s">
        <v>14</v>
      </c>
      <c r="C18" s="10" t="s">
        <v>42</v>
      </c>
      <c r="D18" s="11">
        <v>45</v>
      </c>
      <c r="E18" s="12">
        <f>3.04*45/40</f>
        <v>3.4200000000000004</v>
      </c>
      <c r="F18" s="12">
        <f>0.32*45/40</f>
        <v>0.36</v>
      </c>
      <c r="G18" s="12">
        <f>19.65*45/40</f>
        <v>22.106249999999996</v>
      </c>
      <c r="H18" s="12">
        <f>94*45/40</f>
        <v>105.75</v>
      </c>
      <c r="I18" s="12">
        <v>0</v>
      </c>
      <c r="J18" s="12">
        <f>9.2*45/40</f>
        <v>10.349999999999998</v>
      </c>
      <c r="K18" s="13">
        <f>13.2*45/40</f>
        <v>14.85</v>
      </c>
      <c r="L18" s="7">
        <f>0.76*45/40</f>
        <v>0.85500000000000009</v>
      </c>
    </row>
    <row r="19" spans="2:16" ht="30" customHeight="1" thickBot="1" x14ac:dyDescent="0.45">
      <c r="B19" s="9" t="s">
        <v>16</v>
      </c>
      <c r="C19" s="28" t="s">
        <v>43</v>
      </c>
      <c r="D19" s="15">
        <v>25</v>
      </c>
      <c r="E19" s="16">
        <v>1.65</v>
      </c>
      <c r="F19" s="16">
        <v>3</v>
      </c>
      <c r="G19" s="16">
        <v>8.35</v>
      </c>
      <c r="H19" s="16">
        <v>43.5</v>
      </c>
      <c r="I19" s="7">
        <v>0</v>
      </c>
      <c r="J19" s="16">
        <v>8.25</v>
      </c>
      <c r="K19" s="18">
        <v>14.250000000000002</v>
      </c>
      <c r="L19" s="7">
        <v>1.125</v>
      </c>
      <c r="P19" s="104"/>
    </row>
    <row r="20" spans="2:16" ht="34.5" customHeight="1" thickBot="1" x14ac:dyDescent="0.45">
      <c r="B20" s="40"/>
      <c r="C20" s="67" t="s">
        <v>2</v>
      </c>
      <c r="D20" s="68">
        <f>D19+D18+D17+D16+D15+D14+D13</f>
        <v>760</v>
      </c>
      <c r="E20" s="69">
        <f t="shared" ref="E20:L20" si="1">SUM(E13:E19)</f>
        <v>23.43</v>
      </c>
      <c r="F20" s="69">
        <f t="shared" si="1"/>
        <v>27.68</v>
      </c>
      <c r="G20" s="69">
        <f t="shared" si="1"/>
        <v>101.98624999999998</v>
      </c>
      <c r="H20" s="69">
        <f t="shared" si="1"/>
        <v>731.57999999999993</v>
      </c>
      <c r="I20" s="102">
        <f t="shared" si="1"/>
        <v>29.62</v>
      </c>
      <c r="J20" s="96">
        <f t="shared" si="1"/>
        <v>169.07999999999998</v>
      </c>
      <c r="K20" s="64">
        <f t="shared" si="1"/>
        <v>204.15</v>
      </c>
      <c r="L20" s="103">
        <f t="shared" si="1"/>
        <v>10.67</v>
      </c>
    </row>
    <row r="21" spans="2:16" ht="34.950000000000003" customHeight="1" thickBot="1" x14ac:dyDescent="0.45">
      <c r="B21" s="132"/>
      <c r="C21" s="133" t="s">
        <v>3</v>
      </c>
      <c r="D21" s="134">
        <f t="shared" ref="D21:L21" si="2">D20+D11</f>
        <v>1260</v>
      </c>
      <c r="E21" s="135">
        <f t="shared" si="2"/>
        <v>43.87</v>
      </c>
      <c r="F21" s="135">
        <f t="shared" si="2"/>
        <v>45.11</v>
      </c>
      <c r="G21" s="135">
        <f t="shared" si="2"/>
        <v>175.74624999999997</v>
      </c>
      <c r="H21" s="135">
        <f t="shared" si="2"/>
        <v>1323.82</v>
      </c>
      <c r="I21" s="135">
        <f t="shared" si="2"/>
        <v>43.83</v>
      </c>
      <c r="J21" s="135">
        <f t="shared" si="2"/>
        <v>489.03999999999996</v>
      </c>
      <c r="K21" s="135">
        <f t="shared" si="2"/>
        <v>271.90999999999997</v>
      </c>
      <c r="L21" s="64">
        <f t="shared" si="2"/>
        <v>15.05</v>
      </c>
    </row>
    <row r="22" spans="2:16" ht="30.75" customHeight="1" thickBot="1" x14ac:dyDescent="0.45">
      <c r="B22" s="2" t="s">
        <v>5</v>
      </c>
      <c r="C22" s="41"/>
      <c r="D22" s="41"/>
      <c r="E22" s="41"/>
      <c r="F22" s="41"/>
      <c r="G22" s="41"/>
      <c r="H22" s="41"/>
      <c r="I22" s="41"/>
      <c r="J22" s="41"/>
      <c r="K22" s="41"/>
      <c r="L22" s="42"/>
    </row>
    <row r="23" spans="2:16" ht="27.75" customHeight="1" thickBot="1" x14ac:dyDescent="0.45">
      <c r="B23" s="172" t="s">
        <v>4</v>
      </c>
      <c r="C23" s="166" t="s">
        <v>0</v>
      </c>
      <c r="D23" s="166" t="s">
        <v>31</v>
      </c>
      <c r="E23" s="163" t="s">
        <v>12</v>
      </c>
      <c r="F23" s="164"/>
      <c r="G23" s="164"/>
      <c r="H23" s="165"/>
      <c r="I23" s="168" t="s">
        <v>36</v>
      </c>
      <c r="J23" s="170" t="s">
        <v>37</v>
      </c>
      <c r="K23" s="170" t="s">
        <v>38</v>
      </c>
      <c r="L23" s="170" t="s">
        <v>40</v>
      </c>
    </row>
    <row r="24" spans="2:16" ht="57" customHeight="1" thickBot="1" x14ac:dyDescent="0.45">
      <c r="B24" s="173"/>
      <c r="C24" s="167"/>
      <c r="D24" s="167"/>
      <c r="E24" s="23" t="s">
        <v>32</v>
      </c>
      <c r="F24" s="23" t="s">
        <v>33</v>
      </c>
      <c r="G24" s="23" t="s">
        <v>34</v>
      </c>
      <c r="H24" s="23" t="s">
        <v>35</v>
      </c>
      <c r="I24" s="169"/>
      <c r="J24" s="171"/>
      <c r="K24" s="171"/>
      <c r="L24" s="171"/>
    </row>
    <row r="25" spans="2:16" ht="24.75" customHeight="1" thickBot="1" x14ac:dyDescent="0.45">
      <c r="B25" s="29" t="s">
        <v>27</v>
      </c>
      <c r="C25" s="30"/>
      <c r="D25" s="30"/>
      <c r="E25" s="30"/>
      <c r="F25" s="30"/>
      <c r="G25" s="30"/>
      <c r="H25" s="30"/>
      <c r="I25" s="30"/>
      <c r="J25" s="30"/>
      <c r="K25" s="30"/>
      <c r="L25" s="32"/>
    </row>
    <row r="26" spans="2:16" ht="27" customHeight="1" thickBot="1" x14ac:dyDescent="0.45">
      <c r="B26" s="9" t="s">
        <v>69</v>
      </c>
      <c r="C26" s="14" t="s">
        <v>81</v>
      </c>
      <c r="D26" s="36">
        <v>60</v>
      </c>
      <c r="E26" s="6">
        <v>0.66</v>
      </c>
      <c r="F26" s="6">
        <v>0.12</v>
      </c>
      <c r="G26" s="6">
        <v>2.2799999999999998</v>
      </c>
      <c r="H26" s="6">
        <v>13.2</v>
      </c>
      <c r="I26" s="6">
        <v>10.5</v>
      </c>
      <c r="J26" s="6">
        <v>8.4</v>
      </c>
      <c r="K26" s="16">
        <v>12</v>
      </c>
      <c r="L26" s="16">
        <v>0.51</v>
      </c>
    </row>
    <row r="27" spans="2:16" ht="27.75" customHeight="1" thickBot="1" x14ac:dyDescent="0.45">
      <c r="B27" s="35" t="s">
        <v>29</v>
      </c>
      <c r="C27" s="14" t="s">
        <v>41</v>
      </c>
      <c r="D27" s="36">
        <v>150</v>
      </c>
      <c r="E27" s="6">
        <v>10.15</v>
      </c>
      <c r="F27" s="6">
        <v>11.94</v>
      </c>
      <c r="G27" s="6">
        <v>25.58</v>
      </c>
      <c r="H27" s="6">
        <v>250.8</v>
      </c>
      <c r="I27" s="6">
        <v>7.0000000000000007E-2</v>
      </c>
      <c r="J27" s="6">
        <v>215</v>
      </c>
      <c r="K27" s="16">
        <v>15.68</v>
      </c>
      <c r="L27" s="16">
        <v>1.03</v>
      </c>
    </row>
    <row r="28" spans="2:16" ht="27" customHeight="1" thickBot="1" x14ac:dyDescent="0.45">
      <c r="B28" s="9" t="s">
        <v>14</v>
      </c>
      <c r="C28" s="14" t="s">
        <v>42</v>
      </c>
      <c r="D28" s="36">
        <v>40</v>
      </c>
      <c r="E28" s="6">
        <v>3.04</v>
      </c>
      <c r="F28" s="6">
        <v>0.31999999999999995</v>
      </c>
      <c r="G28" s="6">
        <v>19.653333333333332</v>
      </c>
      <c r="H28" s="6">
        <v>94</v>
      </c>
      <c r="I28" s="6">
        <v>0</v>
      </c>
      <c r="J28" s="6">
        <v>9.1999999999999993</v>
      </c>
      <c r="K28" s="7">
        <v>13.2</v>
      </c>
      <c r="L28" s="7">
        <v>0.85333333333333328</v>
      </c>
    </row>
    <row r="29" spans="2:16" ht="28.5" customHeight="1" thickBot="1" x14ac:dyDescent="0.45">
      <c r="B29" s="9" t="s">
        <v>17</v>
      </c>
      <c r="C29" s="14" t="s">
        <v>66</v>
      </c>
      <c r="D29" s="36">
        <v>100</v>
      </c>
      <c r="E29" s="6">
        <v>0.4</v>
      </c>
      <c r="F29" s="6">
        <v>0.4</v>
      </c>
      <c r="G29" s="6">
        <v>9.8000000000000007</v>
      </c>
      <c r="H29" s="6">
        <v>47</v>
      </c>
      <c r="I29" s="6">
        <v>10</v>
      </c>
      <c r="J29" s="6">
        <v>16</v>
      </c>
      <c r="K29" s="7">
        <v>9</v>
      </c>
      <c r="L29" s="7">
        <v>2.2000000000000002</v>
      </c>
    </row>
    <row r="30" spans="2:16" ht="30.75" customHeight="1" thickBot="1" x14ac:dyDescent="0.45">
      <c r="B30" s="9" t="s">
        <v>95</v>
      </c>
      <c r="C30" s="19" t="s">
        <v>75</v>
      </c>
      <c r="D30" s="11">
        <v>200</v>
      </c>
      <c r="E30" s="12">
        <v>3.17</v>
      </c>
      <c r="F30" s="12">
        <v>3.1</v>
      </c>
      <c r="G30" s="12">
        <v>15.95</v>
      </c>
      <c r="H30" s="12">
        <v>100.6</v>
      </c>
      <c r="I30" s="12">
        <v>1.3</v>
      </c>
      <c r="J30" s="12">
        <v>125.78</v>
      </c>
      <c r="K30" s="13">
        <v>14</v>
      </c>
      <c r="L30" s="7">
        <v>0.13</v>
      </c>
    </row>
    <row r="31" spans="2:16" ht="31.5" customHeight="1" thickBot="1" x14ac:dyDescent="0.45">
      <c r="B31" s="136"/>
      <c r="C31" s="67" t="s">
        <v>28</v>
      </c>
      <c r="D31" s="68">
        <f t="shared" ref="D31:L31" si="3">SUM(D26:D30)</f>
        <v>550</v>
      </c>
      <c r="E31" s="69">
        <f t="shared" si="3"/>
        <v>17.420000000000002</v>
      </c>
      <c r="F31" s="69">
        <f t="shared" si="3"/>
        <v>15.879999999999999</v>
      </c>
      <c r="G31" s="69">
        <f t="shared" si="3"/>
        <v>73.263333333333335</v>
      </c>
      <c r="H31" s="69">
        <f t="shared" si="3"/>
        <v>505.6</v>
      </c>
      <c r="I31" s="69">
        <f t="shared" si="3"/>
        <v>21.87</v>
      </c>
      <c r="J31" s="69">
        <f t="shared" si="3"/>
        <v>374.38</v>
      </c>
      <c r="K31" s="69">
        <f t="shared" si="3"/>
        <v>63.879999999999995</v>
      </c>
      <c r="L31" s="64">
        <f t="shared" si="3"/>
        <v>4.7233333333333336</v>
      </c>
    </row>
    <row r="32" spans="2:16" ht="27.75" customHeight="1" thickBot="1" x14ac:dyDescent="0.45">
      <c r="B32" s="29" t="s">
        <v>1</v>
      </c>
      <c r="C32" s="30"/>
      <c r="D32" s="31"/>
      <c r="E32" s="30"/>
      <c r="F32" s="30"/>
      <c r="G32" s="30"/>
      <c r="H32" s="30"/>
      <c r="I32" s="30"/>
      <c r="J32" s="30"/>
      <c r="K32" s="30"/>
      <c r="L32" s="32"/>
    </row>
    <row r="33" spans="2:12" ht="24.75" customHeight="1" thickBot="1" x14ac:dyDescent="0.45">
      <c r="B33" s="44" t="s">
        <v>78</v>
      </c>
      <c r="C33" s="45" t="s">
        <v>90</v>
      </c>
      <c r="D33" s="36">
        <v>60</v>
      </c>
      <c r="E33" s="33">
        <v>1.17</v>
      </c>
      <c r="F33" s="33">
        <v>5.0599999999999996</v>
      </c>
      <c r="G33" s="33">
        <v>6.94</v>
      </c>
      <c r="H33" s="33">
        <v>78.05</v>
      </c>
      <c r="I33" s="16">
        <v>8.76</v>
      </c>
      <c r="J33" s="46">
        <v>22.55</v>
      </c>
      <c r="K33" s="39">
        <v>15.1</v>
      </c>
      <c r="L33" s="16">
        <v>0.9</v>
      </c>
    </row>
    <row r="34" spans="2:12" ht="24.75" customHeight="1" thickBot="1" x14ac:dyDescent="0.45">
      <c r="B34" s="47" t="s">
        <v>15</v>
      </c>
      <c r="C34" s="14" t="s">
        <v>108</v>
      </c>
      <c r="D34" s="36">
        <v>210</v>
      </c>
      <c r="E34" s="6">
        <v>9.2799999999999994</v>
      </c>
      <c r="F34" s="6">
        <v>7.84</v>
      </c>
      <c r="G34" s="6">
        <v>15.42</v>
      </c>
      <c r="H34" s="6">
        <v>165.48</v>
      </c>
      <c r="I34" s="16">
        <v>9.1999999999999993</v>
      </c>
      <c r="J34" s="38">
        <v>49.25</v>
      </c>
      <c r="K34" s="13">
        <v>30.61</v>
      </c>
      <c r="L34" s="7">
        <v>2</v>
      </c>
    </row>
    <row r="35" spans="2:12" ht="26.25" customHeight="1" thickBot="1" x14ac:dyDescent="0.45">
      <c r="B35" s="9" t="s">
        <v>89</v>
      </c>
      <c r="C35" s="14" t="s">
        <v>88</v>
      </c>
      <c r="D35" s="36">
        <v>210</v>
      </c>
      <c r="E35" s="6">
        <v>4.7300000000000004</v>
      </c>
      <c r="F35" s="6">
        <v>4.7300000000000004</v>
      </c>
      <c r="G35" s="6">
        <v>30.08</v>
      </c>
      <c r="H35" s="7">
        <v>272.58</v>
      </c>
      <c r="I35" s="7">
        <v>10.4</v>
      </c>
      <c r="J35" s="48">
        <v>198.25</v>
      </c>
      <c r="K35" s="18">
        <v>18.059999999999999</v>
      </c>
      <c r="L35" s="7">
        <v>1.02</v>
      </c>
    </row>
    <row r="36" spans="2:12" ht="24.75" customHeight="1" thickBot="1" x14ac:dyDescent="0.45">
      <c r="B36" s="35" t="s">
        <v>14</v>
      </c>
      <c r="C36" s="14" t="s">
        <v>42</v>
      </c>
      <c r="D36" s="36">
        <v>45</v>
      </c>
      <c r="E36" s="6">
        <v>3.4200000000000004</v>
      </c>
      <c r="F36" s="6">
        <v>0.36</v>
      </c>
      <c r="G36" s="6">
        <v>22.106249999999996</v>
      </c>
      <c r="H36" s="6">
        <v>105.75</v>
      </c>
      <c r="I36" s="18">
        <v>0</v>
      </c>
      <c r="J36" s="26">
        <v>10.349999999999998</v>
      </c>
      <c r="K36" s="18">
        <v>14.85</v>
      </c>
      <c r="L36" s="18">
        <v>0.85500000000000009</v>
      </c>
    </row>
    <row r="37" spans="2:12" ht="25.5" customHeight="1" thickBot="1" x14ac:dyDescent="0.45">
      <c r="B37" s="9" t="s">
        <v>16</v>
      </c>
      <c r="C37" s="28" t="s">
        <v>43</v>
      </c>
      <c r="D37" s="15">
        <v>25</v>
      </c>
      <c r="E37" s="16">
        <v>1.65</v>
      </c>
      <c r="F37" s="16">
        <v>3</v>
      </c>
      <c r="G37" s="16">
        <v>8.35</v>
      </c>
      <c r="H37" s="6">
        <v>43.5</v>
      </c>
      <c r="I37" s="7">
        <v>0</v>
      </c>
      <c r="J37" s="17">
        <v>8.25</v>
      </c>
      <c r="K37" s="18">
        <v>14.250000000000002</v>
      </c>
      <c r="L37" s="7">
        <v>1.125</v>
      </c>
    </row>
    <row r="38" spans="2:12" ht="26.25" customHeight="1" thickBot="1" x14ac:dyDescent="0.45">
      <c r="B38" s="9" t="s">
        <v>26</v>
      </c>
      <c r="C38" s="28" t="s">
        <v>76</v>
      </c>
      <c r="D38" s="15">
        <v>180</v>
      </c>
      <c r="E38" s="16">
        <v>1.04</v>
      </c>
      <c r="F38" s="16">
        <v>0.27</v>
      </c>
      <c r="G38" s="16">
        <v>42.53</v>
      </c>
      <c r="H38" s="6">
        <v>176.74</v>
      </c>
      <c r="I38" s="7">
        <v>0.72</v>
      </c>
      <c r="J38" s="17">
        <v>5.26</v>
      </c>
      <c r="K38" s="18">
        <v>30.03</v>
      </c>
      <c r="L38" s="7">
        <v>0.86</v>
      </c>
    </row>
    <row r="39" spans="2:12" ht="26.25" customHeight="1" thickBot="1" x14ac:dyDescent="0.45">
      <c r="B39" s="35" t="s">
        <v>17</v>
      </c>
      <c r="C39" s="28" t="s">
        <v>66</v>
      </c>
      <c r="D39" s="15">
        <v>100</v>
      </c>
      <c r="E39" s="16">
        <v>0.4</v>
      </c>
      <c r="F39" s="16">
        <v>0.4</v>
      </c>
      <c r="G39" s="16">
        <v>9.8000000000000007</v>
      </c>
      <c r="H39" s="6">
        <v>47</v>
      </c>
      <c r="I39" s="16">
        <v>10</v>
      </c>
      <c r="J39" s="38">
        <v>16</v>
      </c>
      <c r="K39" s="39">
        <v>9</v>
      </c>
      <c r="L39" s="16">
        <v>2.2000000000000002</v>
      </c>
    </row>
    <row r="40" spans="2:12" ht="29.25" customHeight="1" thickBot="1" x14ac:dyDescent="0.45">
      <c r="B40" s="37"/>
      <c r="C40" s="100" t="s">
        <v>2</v>
      </c>
      <c r="D40" s="101">
        <f t="shared" ref="D40:L40" si="4">SUM(D33:D39)</f>
        <v>830</v>
      </c>
      <c r="E40" s="124">
        <f t="shared" si="4"/>
        <v>21.689999999999998</v>
      </c>
      <c r="F40" s="124">
        <f t="shared" si="4"/>
        <v>21.659999999999997</v>
      </c>
      <c r="G40" s="124">
        <f t="shared" si="4"/>
        <v>135.22624999999999</v>
      </c>
      <c r="H40" s="124">
        <f t="shared" si="4"/>
        <v>889.09999999999991</v>
      </c>
      <c r="I40" s="124">
        <f t="shared" si="4"/>
        <v>39.08</v>
      </c>
      <c r="J40" s="124">
        <f t="shared" si="4"/>
        <v>309.91000000000003</v>
      </c>
      <c r="K40" s="124">
        <f t="shared" si="4"/>
        <v>131.89999999999998</v>
      </c>
      <c r="L40" s="124">
        <f t="shared" si="4"/>
        <v>8.9600000000000009</v>
      </c>
    </row>
    <row r="41" spans="2:12" ht="30" customHeight="1" thickBot="1" x14ac:dyDescent="0.45">
      <c r="B41" s="9"/>
      <c r="C41" s="67" t="s">
        <v>3</v>
      </c>
      <c r="D41" s="68">
        <f t="shared" ref="D41:L41" si="5">D40+D31</f>
        <v>1380</v>
      </c>
      <c r="E41" s="69">
        <f t="shared" si="5"/>
        <v>39.11</v>
      </c>
      <c r="F41" s="69">
        <f t="shared" si="5"/>
        <v>37.539999999999992</v>
      </c>
      <c r="G41" s="69">
        <f t="shared" si="5"/>
        <v>208.48958333333331</v>
      </c>
      <c r="H41" s="69">
        <f t="shared" si="5"/>
        <v>1394.6999999999998</v>
      </c>
      <c r="I41" s="69">
        <f t="shared" si="5"/>
        <v>60.95</v>
      </c>
      <c r="J41" s="69">
        <f t="shared" si="5"/>
        <v>684.29</v>
      </c>
      <c r="K41" s="69">
        <f t="shared" si="5"/>
        <v>195.77999999999997</v>
      </c>
      <c r="L41" s="64">
        <f t="shared" si="5"/>
        <v>13.683333333333334</v>
      </c>
    </row>
    <row r="42" spans="2:12" ht="37.5" customHeight="1" thickBot="1" x14ac:dyDescent="0.45">
      <c r="B42" s="2" t="s">
        <v>7</v>
      </c>
      <c r="C42" s="41"/>
      <c r="D42" s="41"/>
      <c r="E42" s="41"/>
      <c r="F42" s="41"/>
      <c r="G42" s="41"/>
      <c r="H42" s="41"/>
      <c r="I42" s="41"/>
      <c r="J42" s="41"/>
      <c r="K42" s="41"/>
      <c r="L42" s="42"/>
    </row>
    <row r="43" spans="2:12" ht="27" customHeight="1" thickBot="1" x14ac:dyDescent="0.45">
      <c r="B43" s="172" t="s">
        <v>4</v>
      </c>
      <c r="C43" s="166" t="s">
        <v>0</v>
      </c>
      <c r="D43" s="166" t="s">
        <v>31</v>
      </c>
      <c r="E43" s="163" t="s">
        <v>12</v>
      </c>
      <c r="F43" s="164"/>
      <c r="G43" s="164"/>
      <c r="H43" s="165"/>
      <c r="I43" s="168" t="s">
        <v>36</v>
      </c>
      <c r="J43" s="170" t="s">
        <v>37</v>
      </c>
      <c r="K43" s="170" t="s">
        <v>38</v>
      </c>
      <c r="L43" s="170" t="s">
        <v>40</v>
      </c>
    </row>
    <row r="44" spans="2:12" ht="63.75" customHeight="1" thickBot="1" x14ac:dyDescent="0.45">
      <c r="B44" s="173"/>
      <c r="C44" s="167"/>
      <c r="D44" s="167"/>
      <c r="E44" s="23" t="s">
        <v>32</v>
      </c>
      <c r="F44" s="23" t="s">
        <v>33</v>
      </c>
      <c r="G44" s="23" t="s">
        <v>34</v>
      </c>
      <c r="H44" s="23" t="s">
        <v>35</v>
      </c>
      <c r="I44" s="169"/>
      <c r="J44" s="171"/>
      <c r="K44" s="171"/>
      <c r="L44" s="171"/>
    </row>
    <row r="45" spans="2:12" ht="27" customHeight="1" thickBot="1" x14ac:dyDescent="0.45">
      <c r="B45" s="29" t="s">
        <v>27</v>
      </c>
      <c r="C45" s="30"/>
      <c r="D45" s="30"/>
      <c r="E45" s="30"/>
      <c r="F45" s="30"/>
      <c r="G45" s="30"/>
      <c r="H45" s="30"/>
      <c r="I45" s="30"/>
      <c r="J45" s="30"/>
      <c r="K45" s="30"/>
      <c r="L45" s="32"/>
    </row>
    <row r="46" spans="2:12" ht="27" customHeight="1" thickBot="1" x14ac:dyDescent="0.45">
      <c r="B46" s="3" t="s">
        <v>69</v>
      </c>
      <c r="C46" s="14" t="s">
        <v>81</v>
      </c>
      <c r="D46" s="36">
        <v>60</v>
      </c>
      <c r="E46" s="33">
        <v>0.66</v>
      </c>
      <c r="F46" s="33">
        <v>0.12</v>
      </c>
      <c r="G46" s="33">
        <v>2.2799999999999998</v>
      </c>
      <c r="H46" s="33">
        <v>13.2</v>
      </c>
      <c r="I46" s="16">
        <v>10.5</v>
      </c>
      <c r="J46" s="46">
        <v>8.4</v>
      </c>
      <c r="K46" s="18">
        <v>12</v>
      </c>
      <c r="L46" s="7">
        <v>0.51</v>
      </c>
    </row>
    <row r="47" spans="2:12" ht="26.25" customHeight="1" thickBot="1" x14ac:dyDescent="0.45">
      <c r="B47" s="9" t="s">
        <v>57</v>
      </c>
      <c r="C47" s="10" t="s">
        <v>80</v>
      </c>
      <c r="D47" s="11">
        <v>100</v>
      </c>
      <c r="E47" s="12">
        <v>8.51</v>
      </c>
      <c r="F47" s="12">
        <v>13.45</v>
      </c>
      <c r="G47" s="12">
        <v>9.0050000000000008</v>
      </c>
      <c r="H47" s="12">
        <v>185.69</v>
      </c>
      <c r="I47" s="12">
        <v>29.58</v>
      </c>
      <c r="J47" s="12">
        <v>18.45</v>
      </c>
      <c r="K47" s="13">
        <v>23.734999999999999</v>
      </c>
      <c r="L47" s="7">
        <v>1.24</v>
      </c>
    </row>
    <row r="48" spans="2:12" ht="27.75" customHeight="1" thickBot="1" x14ac:dyDescent="0.45">
      <c r="B48" s="9" t="s">
        <v>96</v>
      </c>
      <c r="C48" s="14" t="s">
        <v>74</v>
      </c>
      <c r="D48" s="11">
        <v>150</v>
      </c>
      <c r="E48" s="12">
        <v>3.25</v>
      </c>
      <c r="F48" s="12">
        <v>2.88</v>
      </c>
      <c r="G48" s="12">
        <v>28.99</v>
      </c>
      <c r="H48" s="12">
        <v>189.56</v>
      </c>
      <c r="I48" s="12">
        <v>25.95</v>
      </c>
      <c r="J48" s="12">
        <v>145.59</v>
      </c>
      <c r="K48" s="13">
        <v>32.99</v>
      </c>
      <c r="L48" s="7">
        <v>1.22</v>
      </c>
    </row>
    <row r="49" spans="2:12" ht="28.5" customHeight="1" thickBot="1" x14ac:dyDescent="0.45">
      <c r="B49" s="9" t="s">
        <v>14</v>
      </c>
      <c r="C49" s="28" t="s">
        <v>42</v>
      </c>
      <c r="D49" s="15">
        <v>20</v>
      </c>
      <c r="E49" s="16">
        <v>1.52</v>
      </c>
      <c r="F49" s="16">
        <v>0.16</v>
      </c>
      <c r="G49" s="16">
        <v>9.84</v>
      </c>
      <c r="H49" s="6">
        <v>47</v>
      </c>
      <c r="I49" s="7">
        <v>0</v>
      </c>
      <c r="J49" s="17">
        <v>4.5999999999999996</v>
      </c>
      <c r="K49" s="18">
        <v>6.6</v>
      </c>
      <c r="L49" s="7">
        <v>0.38</v>
      </c>
    </row>
    <row r="50" spans="2:12" ht="30" customHeight="1" thickBot="1" x14ac:dyDescent="0.45">
      <c r="B50" s="9" t="s">
        <v>16</v>
      </c>
      <c r="C50" s="28" t="s">
        <v>43</v>
      </c>
      <c r="D50" s="36">
        <v>30</v>
      </c>
      <c r="E50" s="6">
        <v>1.98</v>
      </c>
      <c r="F50" s="6">
        <v>0.36</v>
      </c>
      <c r="G50" s="6">
        <v>10.02</v>
      </c>
      <c r="H50" s="6">
        <v>52.2</v>
      </c>
      <c r="I50" s="7">
        <v>0</v>
      </c>
      <c r="J50" s="17">
        <v>9.9</v>
      </c>
      <c r="K50" s="13">
        <v>17.100000000000001</v>
      </c>
      <c r="L50" s="7">
        <v>1.35</v>
      </c>
    </row>
    <row r="51" spans="2:12" ht="27" customHeight="1" thickBot="1" x14ac:dyDescent="0.45">
      <c r="B51" s="9" t="s">
        <v>26</v>
      </c>
      <c r="C51" s="19" t="s">
        <v>76</v>
      </c>
      <c r="D51" s="11">
        <v>200</v>
      </c>
      <c r="E51" s="12">
        <v>1.1599999999999999</v>
      </c>
      <c r="F51" s="12">
        <v>0.3</v>
      </c>
      <c r="G51" s="12">
        <v>47.26</v>
      </c>
      <c r="H51" s="12">
        <v>196.38</v>
      </c>
      <c r="I51" s="12">
        <v>0.8</v>
      </c>
      <c r="J51" s="12">
        <v>5.84</v>
      </c>
      <c r="K51" s="13">
        <v>33</v>
      </c>
      <c r="L51" s="7">
        <v>0.96</v>
      </c>
    </row>
    <row r="52" spans="2:12" ht="31.5" customHeight="1" thickBot="1" x14ac:dyDescent="0.45">
      <c r="B52" s="137"/>
      <c r="C52" s="138" t="s">
        <v>28</v>
      </c>
      <c r="D52" s="139">
        <f t="shared" ref="D52:L52" si="6">SUM(D46:D51)</f>
        <v>560</v>
      </c>
      <c r="E52" s="64">
        <f t="shared" si="6"/>
        <v>17.079999999999998</v>
      </c>
      <c r="F52" s="64">
        <f t="shared" si="6"/>
        <v>17.27</v>
      </c>
      <c r="G52" s="64">
        <f t="shared" si="6"/>
        <v>107.39499999999998</v>
      </c>
      <c r="H52" s="64">
        <f t="shared" si="6"/>
        <v>684.03</v>
      </c>
      <c r="I52" s="64">
        <f t="shared" si="6"/>
        <v>66.83</v>
      </c>
      <c r="J52" s="64">
        <f t="shared" si="6"/>
        <v>192.78</v>
      </c>
      <c r="K52" s="64">
        <f t="shared" si="6"/>
        <v>125.42499999999998</v>
      </c>
      <c r="L52" s="64">
        <f t="shared" si="6"/>
        <v>5.6599999999999993</v>
      </c>
    </row>
    <row r="53" spans="2:12" ht="26.25" customHeight="1" thickBot="1" x14ac:dyDescent="0.45">
      <c r="B53" s="29" t="s">
        <v>1</v>
      </c>
      <c r="C53" s="30"/>
      <c r="D53" s="31"/>
      <c r="E53" s="30"/>
      <c r="F53" s="30"/>
      <c r="G53" s="30"/>
      <c r="H53" s="30"/>
      <c r="I53" s="30"/>
      <c r="J53" s="30"/>
      <c r="K53" s="30"/>
      <c r="L53" s="32"/>
    </row>
    <row r="54" spans="2:12" ht="29.25" customHeight="1" thickBot="1" x14ac:dyDescent="0.45">
      <c r="B54" s="35" t="s">
        <v>109</v>
      </c>
      <c r="C54" s="14" t="s">
        <v>110</v>
      </c>
      <c r="D54" s="36">
        <v>250</v>
      </c>
      <c r="E54" s="6">
        <v>5.47</v>
      </c>
      <c r="F54" s="6">
        <v>0.31</v>
      </c>
      <c r="G54" s="6">
        <v>17.95</v>
      </c>
      <c r="H54" s="6">
        <v>150</v>
      </c>
      <c r="I54" s="16">
        <v>0.82</v>
      </c>
      <c r="J54" s="38">
        <v>163</v>
      </c>
      <c r="K54" s="18">
        <v>26.67</v>
      </c>
      <c r="L54" s="7">
        <v>0.65</v>
      </c>
    </row>
    <row r="55" spans="2:12" ht="28.5" customHeight="1" thickBot="1" x14ac:dyDescent="0.45">
      <c r="B55" s="116" t="s">
        <v>111</v>
      </c>
      <c r="C55" s="117" t="s">
        <v>48</v>
      </c>
      <c r="D55" s="118">
        <v>200</v>
      </c>
      <c r="E55" s="119">
        <v>16.940000000000001</v>
      </c>
      <c r="F55" s="119">
        <v>10.46</v>
      </c>
      <c r="G55" s="119">
        <v>25.73</v>
      </c>
      <c r="H55" s="120">
        <v>305.33</v>
      </c>
      <c r="I55" s="120">
        <v>6.02</v>
      </c>
      <c r="J55" s="121">
        <v>46.34</v>
      </c>
      <c r="K55" s="122">
        <v>54.04</v>
      </c>
      <c r="L55" s="120">
        <v>1.97</v>
      </c>
    </row>
    <row r="56" spans="2:12" ht="28.5" customHeight="1" thickBot="1" x14ac:dyDescent="0.45">
      <c r="B56" s="40" t="s">
        <v>14</v>
      </c>
      <c r="C56" s="117" t="s">
        <v>42</v>
      </c>
      <c r="D56" s="118">
        <v>45</v>
      </c>
      <c r="E56" s="119">
        <v>3.4200000000000004</v>
      </c>
      <c r="F56" s="119">
        <v>0.36</v>
      </c>
      <c r="G56" s="119">
        <v>22.106249999999996</v>
      </c>
      <c r="H56" s="123">
        <v>105.75</v>
      </c>
      <c r="I56" s="120">
        <v>0</v>
      </c>
      <c r="J56" s="121">
        <v>10.349999999999998</v>
      </c>
      <c r="K56" s="122">
        <v>14.85</v>
      </c>
      <c r="L56" s="120">
        <v>0.85500000000000009</v>
      </c>
    </row>
    <row r="57" spans="2:12" ht="27.75" customHeight="1" thickBot="1" x14ac:dyDescent="0.45">
      <c r="B57" s="40" t="s">
        <v>16</v>
      </c>
      <c r="C57" s="117" t="s">
        <v>43</v>
      </c>
      <c r="D57" s="118">
        <v>25</v>
      </c>
      <c r="E57" s="119">
        <v>1.65</v>
      </c>
      <c r="F57" s="119">
        <v>3</v>
      </c>
      <c r="G57" s="119">
        <v>8.35</v>
      </c>
      <c r="H57" s="123">
        <v>43.5</v>
      </c>
      <c r="I57" s="120">
        <v>0</v>
      </c>
      <c r="J57" s="121">
        <v>8.25</v>
      </c>
      <c r="K57" s="122">
        <v>14.250000000000002</v>
      </c>
      <c r="L57" s="120">
        <v>1.125</v>
      </c>
    </row>
    <row r="58" spans="2:12" ht="30" customHeight="1" thickBot="1" x14ac:dyDescent="0.45">
      <c r="B58" s="40" t="s">
        <v>86</v>
      </c>
      <c r="C58" s="117" t="s">
        <v>87</v>
      </c>
      <c r="D58" s="118">
        <v>200</v>
      </c>
      <c r="E58" s="119">
        <f>0.11*200/180</f>
        <v>0.12222222222222222</v>
      </c>
      <c r="F58" s="119">
        <v>0.12</v>
      </c>
      <c r="G58" s="119">
        <f>20.61*200/180</f>
        <v>22.9</v>
      </c>
      <c r="H58" s="123">
        <f>91.52*200/180</f>
        <v>101.68888888888888</v>
      </c>
      <c r="I58" s="120">
        <f>2.7*200/180</f>
        <v>3</v>
      </c>
      <c r="J58" s="121">
        <f>4.86*200/180</f>
        <v>5.4</v>
      </c>
      <c r="K58" s="122">
        <f>2.43*200/180</f>
        <v>2.7</v>
      </c>
      <c r="L58" s="120">
        <f>0.65*200/180</f>
        <v>0.72222222222222221</v>
      </c>
    </row>
    <row r="59" spans="2:12" ht="30.75" customHeight="1" thickBot="1" x14ac:dyDescent="0.45">
      <c r="B59" s="72"/>
      <c r="C59" s="61" t="s">
        <v>2</v>
      </c>
      <c r="D59" s="62">
        <f t="shared" ref="D59:L59" si="7">SUM(D54:D58)</f>
        <v>720</v>
      </c>
      <c r="E59" s="69">
        <f t="shared" si="7"/>
        <v>27.602222222222224</v>
      </c>
      <c r="F59" s="69">
        <f t="shared" si="7"/>
        <v>14.25</v>
      </c>
      <c r="G59" s="69">
        <f t="shared" si="7"/>
        <v>97.036249999999995</v>
      </c>
      <c r="H59" s="69">
        <f t="shared" si="7"/>
        <v>706.2688888888888</v>
      </c>
      <c r="I59" s="64">
        <f t="shared" si="7"/>
        <v>9.84</v>
      </c>
      <c r="J59" s="96">
        <f t="shared" si="7"/>
        <v>233.34</v>
      </c>
      <c r="K59" s="64">
        <f t="shared" si="7"/>
        <v>112.51</v>
      </c>
      <c r="L59" s="64">
        <f t="shared" si="7"/>
        <v>5.322222222222222</v>
      </c>
    </row>
    <row r="60" spans="2:12" ht="32.25" customHeight="1" thickBot="1" x14ac:dyDescent="0.45">
      <c r="B60" s="40"/>
      <c r="C60" s="67" t="s">
        <v>3</v>
      </c>
      <c r="D60" s="68">
        <f t="shared" ref="D60:L60" si="8">D59+D52</f>
        <v>1280</v>
      </c>
      <c r="E60" s="69">
        <f t="shared" si="8"/>
        <v>44.682222222222222</v>
      </c>
      <c r="F60" s="69">
        <f t="shared" si="8"/>
        <v>31.52</v>
      </c>
      <c r="G60" s="69">
        <f t="shared" si="8"/>
        <v>204.43124999999998</v>
      </c>
      <c r="H60" s="69">
        <f t="shared" si="8"/>
        <v>1390.2988888888888</v>
      </c>
      <c r="I60" s="69">
        <f t="shared" si="8"/>
        <v>76.67</v>
      </c>
      <c r="J60" s="69">
        <f t="shared" si="8"/>
        <v>426.12</v>
      </c>
      <c r="K60" s="69">
        <f t="shared" si="8"/>
        <v>237.935</v>
      </c>
      <c r="L60" s="64">
        <f t="shared" si="8"/>
        <v>10.982222222222221</v>
      </c>
    </row>
    <row r="61" spans="2:12" ht="38.25" customHeight="1" thickBot="1" x14ac:dyDescent="0.45">
      <c r="B61" s="2" t="s">
        <v>8</v>
      </c>
      <c r="C61" s="41"/>
      <c r="D61" s="41"/>
      <c r="E61" s="41"/>
      <c r="F61" s="41"/>
      <c r="G61" s="41"/>
      <c r="H61" s="41"/>
      <c r="I61" s="41"/>
      <c r="J61" s="41"/>
      <c r="K61" s="41"/>
      <c r="L61" s="42"/>
    </row>
    <row r="62" spans="2:12" ht="22.5" customHeight="1" thickBot="1" x14ac:dyDescent="0.45">
      <c r="B62" s="172" t="s">
        <v>4</v>
      </c>
      <c r="C62" s="166" t="s">
        <v>0</v>
      </c>
      <c r="D62" s="166" t="s">
        <v>31</v>
      </c>
      <c r="E62" s="163" t="s">
        <v>12</v>
      </c>
      <c r="F62" s="164"/>
      <c r="G62" s="164"/>
      <c r="H62" s="165"/>
      <c r="I62" s="168" t="s">
        <v>36</v>
      </c>
      <c r="J62" s="170" t="s">
        <v>37</v>
      </c>
      <c r="K62" s="170" t="s">
        <v>38</v>
      </c>
      <c r="L62" s="170" t="s">
        <v>40</v>
      </c>
    </row>
    <row r="63" spans="2:12" ht="59.25" customHeight="1" thickBot="1" x14ac:dyDescent="0.45">
      <c r="B63" s="173"/>
      <c r="C63" s="167"/>
      <c r="D63" s="167"/>
      <c r="E63" s="23" t="s">
        <v>32</v>
      </c>
      <c r="F63" s="23" t="s">
        <v>33</v>
      </c>
      <c r="G63" s="23" t="s">
        <v>34</v>
      </c>
      <c r="H63" s="23" t="s">
        <v>35</v>
      </c>
      <c r="I63" s="169"/>
      <c r="J63" s="171"/>
      <c r="K63" s="171"/>
      <c r="L63" s="171"/>
    </row>
    <row r="64" spans="2:12" ht="26.25" customHeight="1" thickBot="1" x14ac:dyDescent="0.45">
      <c r="B64" s="29" t="s">
        <v>27</v>
      </c>
      <c r="C64" s="30"/>
      <c r="D64" s="30"/>
      <c r="E64" s="30"/>
      <c r="F64" s="30"/>
      <c r="G64" s="30"/>
      <c r="H64" s="30"/>
      <c r="I64" s="30"/>
      <c r="J64" s="30"/>
      <c r="K64" s="51"/>
      <c r="L64" s="52"/>
    </row>
    <row r="65" spans="2:12" ht="28.5" customHeight="1" thickBot="1" x14ac:dyDescent="0.45">
      <c r="B65" s="3" t="s">
        <v>69</v>
      </c>
      <c r="C65" s="4" t="s">
        <v>81</v>
      </c>
      <c r="D65" s="5">
        <v>60</v>
      </c>
      <c r="E65" s="6">
        <v>0.66</v>
      </c>
      <c r="F65" s="6">
        <v>0.12</v>
      </c>
      <c r="G65" s="6">
        <v>2.2799999999999998</v>
      </c>
      <c r="H65" s="6">
        <v>13.2</v>
      </c>
      <c r="I65" s="6">
        <v>10.5</v>
      </c>
      <c r="J65" s="7">
        <v>8.4</v>
      </c>
      <c r="K65" s="8">
        <v>12</v>
      </c>
      <c r="L65" s="7">
        <v>0.54</v>
      </c>
    </row>
    <row r="66" spans="2:12" ht="26.25" customHeight="1" thickBot="1" x14ac:dyDescent="0.45">
      <c r="B66" s="9" t="s">
        <v>82</v>
      </c>
      <c r="C66" s="14" t="s">
        <v>83</v>
      </c>
      <c r="D66" s="36">
        <v>150</v>
      </c>
      <c r="E66" s="12">
        <v>18.847058823529412</v>
      </c>
      <c r="F66" s="12">
        <v>21.441176470588236</v>
      </c>
      <c r="G66" s="12">
        <v>6.93</v>
      </c>
      <c r="H66" s="12">
        <v>280.58823529411762</v>
      </c>
      <c r="I66" s="12">
        <v>0.63529411764705879</v>
      </c>
      <c r="J66" s="12">
        <v>110.11764705882354</v>
      </c>
      <c r="K66" s="13">
        <v>28.588235294117649</v>
      </c>
      <c r="L66" s="7">
        <v>3.0176470588235293</v>
      </c>
    </row>
    <row r="67" spans="2:12" ht="29.25" customHeight="1" thickBot="1" x14ac:dyDescent="0.45">
      <c r="B67" s="9" t="s">
        <v>14</v>
      </c>
      <c r="C67" s="10" t="s">
        <v>42</v>
      </c>
      <c r="D67" s="36">
        <v>50</v>
      </c>
      <c r="E67" s="6">
        <v>3.8</v>
      </c>
      <c r="F67" s="6">
        <v>0.4</v>
      </c>
      <c r="G67" s="7">
        <v>24.6</v>
      </c>
      <c r="H67" s="6">
        <v>117.5</v>
      </c>
      <c r="I67" s="7">
        <v>0</v>
      </c>
      <c r="J67" s="17">
        <v>11.5</v>
      </c>
      <c r="K67" s="18">
        <v>16.5</v>
      </c>
      <c r="L67" s="7">
        <v>0.95</v>
      </c>
    </row>
    <row r="68" spans="2:12" ht="27" customHeight="1" thickBot="1" x14ac:dyDescent="0.45">
      <c r="B68" s="9" t="s">
        <v>16</v>
      </c>
      <c r="C68" s="14" t="s">
        <v>43</v>
      </c>
      <c r="D68" s="36">
        <v>40</v>
      </c>
      <c r="E68" s="7">
        <v>2.64</v>
      </c>
      <c r="F68" s="7">
        <v>0.48</v>
      </c>
      <c r="G68" s="105">
        <v>13.36</v>
      </c>
      <c r="H68" s="7">
        <v>69.599999999999994</v>
      </c>
      <c r="I68" s="105">
        <v>0</v>
      </c>
      <c r="J68" s="106">
        <v>13.2</v>
      </c>
      <c r="K68" s="107">
        <v>22.8</v>
      </c>
      <c r="L68" s="107">
        <v>1.8</v>
      </c>
    </row>
    <row r="69" spans="2:12" ht="27" customHeight="1" thickBot="1" x14ac:dyDescent="0.45">
      <c r="B69" s="9" t="s">
        <v>55</v>
      </c>
      <c r="C69" s="14" t="s">
        <v>56</v>
      </c>
      <c r="D69" s="36">
        <v>200</v>
      </c>
      <c r="E69" s="12">
        <v>1</v>
      </c>
      <c r="F69" s="12">
        <v>0.2</v>
      </c>
      <c r="G69" s="12">
        <v>20.2</v>
      </c>
      <c r="H69" s="12">
        <v>92</v>
      </c>
      <c r="I69" s="12">
        <v>4</v>
      </c>
      <c r="J69" s="12">
        <v>14</v>
      </c>
      <c r="K69" s="7">
        <v>8</v>
      </c>
      <c r="L69" s="7">
        <v>2.8</v>
      </c>
    </row>
    <row r="70" spans="2:12" ht="32.25" customHeight="1" thickBot="1" x14ac:dyDescent="0.45">
      <c r="B70" s="29"/>
      <c r="C70" s="140" t="s">
        <v>28</v>
      </c>
      <c r="D70" s="99">
        <f t="shared" ref="D70:L70" si="9">SUM(D65:D69)</f>
        <v>500</v>
      </c>
      <c r="E70" s="131">
        <f t="shared" si="9"/>
        <v>26.947058823529414</v>
      </c>
      <c r="F70" s="131">
        <f t="shared" si="9"/>
        <v>22.641176470588235</v>
      </c>
      <c r="G70" s="131">
        <f t="shared" si="9"/>
        <v>67.37</v>
      </c>
      <c r="H70" s="131">
        <f t="shared" si="9"/>
        <v>572.88823529411764</v>
      </c>
      <c r="I70" s="131">
        <f t="shared" si="9"/>
        <v>15.135294117647058</v>
      </c>
      <c r="J70" s="131">
        <f t="shared" si="9"/>
        <v>157.21764705882353</v>
      </c>
      <c r="K70" s="131">
        <f t="shared" si="9"/>
        <v>87.888235294117649</v>
      </c>
      <c r="L70" s="131">
        <f t="shared" si="9"/>
        <v>9.1076470588235292</v>
      </c>
    </row>
    <row r="71" spans="2:12" ht="25.5" customHeight="1" thickBot="1" x14ac:dyDescent="0.45">
      <c r="B71" s="53" t="s">
        <v>1</v>
      </c>
      <c r="C71" s="30"/>
      <c r="D71" s="54"/>
      <c r="E71" s="55"/>
      <c r="F71" s="55"/>
      <c r="G71" s="55"/>
      <c r="H71" s="55"/>
      <c r="I71" s="55"/>
      <c r="J71" s="55"/>
      <c r="K71" s="56"/>
      <c r="L71" s="57"/>
    </row>
    <row r="72" spans="2:12" ht="27" customHeight="1" thickBot="1" x14ac:dyDescent="0.45">
      <c r="B72" s="3" t="s">
        <v>69</v>
      </c>
      <c r="C72" s="4" t="s">
        <v>81</v>
      </c>
      <c r="D72" s="5">
        <v>60</v>
      </c>
      <c r="E72" s="6">
        <v>0.66</v>
      </c>
      <c r="F72" s="6">
        <v>0.12</v>
      </c>
      <c r="G72" s="6">
        <v>2.2799999999999998</v>
      </c>
      <c r="H72" s="6">
        <v>13.2</v>
      </c>
      <c r="I72" s="6">
        <v>10.5</v>
      </c>
      <c r="J72" s="7">
        <v>8.4</v>
      </c>
      <c r="K72" s="8">
        <v>12</v>
      </c>
      <c r="L72" s="7">
        <v>0.54</v>
      </c>
    </row>
    <row r="73" spans="2:12" ht="27" customHeight="1" thickBot="1" x14ac:dyDescent="0.45">
      <c r="B73" s="58" t="s">
        <v>112</v>
      </c>
      <c r="C73" s="14" t="s">
        <v>113</v>
      </c>
      <c r="D73" s="36">
        <v>200</v>
      </c>
      <c r="E73" s="6">
        <v>2.4500000000000002</v>
      </c>
      <c r="F73" s="6">
        <v>2.8</v>
      </c>
      <c r="G73" s="6">
        <v>28.81</v>
      </c>
      <c r="H73" s="6">
        <v>143.75</v>
      </c>
      <c r="I73" s="16">
        <v>80</v>
      </c>
      <c r="J73" s="38">
        <v>128.79</v>
      </c>
      <c r="K73" s="13">
        <v>51.6</v>
      </c>
      <c r="L73" s="7">
        <v>1.24</v>
      </c>
    </row>
    <row r="74" spans="2:12" ht="27.75" customHeight="1" thickBot="1" x14ac:dyDescent="0.45">
      <c r="B74" s="37" t="s">
        <v>99</v>
      </c>
      <c r="C74" s="28" t="s">
        <v>98</v>
      </c>
      <c r="D74" s="15">
        <v>100</v>
      </c>
      <c r="E74" s="16">
        <v>17.3</v>
      </c>
      <c r="F74" s="16">
        <v>13.58</v>
      </c>
      <c r="G74" s="16">
        <v>11.8</v>
      </c>
      <c r="H74" s="16">
        <v>222</v>
      </c>
      <c r="I74" s="16">
        <v>8.1</v>
      </c>
      <c r="J74" s="46">
        <v>14</v>
      </c>
      <c r="K74" s="13">
        <v>20</v>
      </c>
      <c r="L74" s="7">
        <v>5.7</v>
      </c>
    </row>
    <row r="75" spans="2:12" ht="27.75" customHeight="1" thickBot="1" x14ac:dyDescent="0.45">
      <c r="B75" s="35" t="s">
        <v>96</v>
      </c>
      <c r="C75" s="14" t="s">
        <v>74</v>
      </c>
      <c r="D75" s="36">
        <v>150</v>
      </c>
      <c r="E75" s="6">
        <v>3.25</v>
      </c>
      <c r="F75" s="6">
        <v>2.88</v>
      </c>
      <c r="G75" s="6">
        <v>28.99</v>
      </c>
      <c r="H75" s="6">
        <v>189.56</v>
      </c>
      <c r="I75" s="16">
        <v>25.95</v>
      </c>
      <c r="J75" s="38">
        <v>145.59</v>
      </c>
      <c r="K75" s="109">
        <v>32.99</v>
      </c>
      <c r="L75" s="16">
        <v>1.22</v>
      </c>
    </row>
    <row r="76" spans="2:12" ht="27.75" customHeight="1" thickBot="1" x14ac:dyDescent="0.45">
      <c r="B76" s="35" t="s">
        <v>14</v>
      </c>
      <c r="C76" s="14" t="s">
        <v>42</v>
      </c>
      <c r="D76" s="36">
        <v>45</v>
      </c>
      <c r="E76" s="6">
        <v>3.4200000000000004</v>
      </c>
      <c r="F76" s="6">
        <v>0.36</v>
      </c>
      <c r="G76" s="6">
        <v>22.106249999999996</v>
      </c>
      <c r="H76" s="6">
        <v>105.75</v>
      </c>
      <c r="I76" s="16">
        <v>0</v>
      </c>
      <c r="J76" s="38">
        <v>10.349999999999998</v>
      </c>
      <c r="K76" s="39">
        <v>14.85</v>
      </c>
      <c r="L76" s="16">
        <v>0.85500000000000009</v>
      </c>
    </row>
    <row r="77" spans="2:12" ht="27.75" customHeight="1" thickBot="1" x14ac:dyDescent="0.45">
      <c r="B77" s="9" t="s">
        <v>16</v>
      </c>
      <c r="C77" s="28" t="s">
        <v>43</v>
      </c>
      <c r="D77" s="15">
        <v>25</v>
      </c>
      <c r="E77" s="16">
        <v>1.65</v>
      </c>
      <c r="F77" s="16">
        <v>3</v>
      </c>
      <c r="G77" s="16">
        <v>8.35</v>
      </c>
      <c r="H77" s="6">
        <v>43.5</v>
      </c>
      <c r="I77" s="7">
        <v>0</v>
      </c>
      <c r="J77" s="17">
        <v>8.25</v>
      </c>
      <c r="K77" s="18">
        <v>14.250000000000002</v>
      </c>
      <c r="L77" s="7">
        <v>1.125</v>
      </c>
    </row>
    <row r="78" spans="2:12" ht="28.5" customHeight="1" thickBot="1" x14ac:dyDescent="0.45">
      <c r="B78" s="35" t="s">
        <v>26</v>
      </c>
      <c r="C78" s="14" t="s">
        <v>76</v>
      </c>
      <c r="D78" s="36">
        <v>180</v>
      </c>
      <c r="E78" s="6">
        <v>1.04</v>
      </c>
      <c r="F78" s="6">
        <v>0.27</v>
      </c>
      <c r="G78" s="6">
        <v>42.53</v>
      </c>
      <c r="H78" s="6">
        <v>176.74</v>
      </c>
      <c r="I78" s="18">
        <v>0.72</v>
      </c>
      <c r="J78" s="26">
        <v>5.26</v>
      </c>
      <c r="K78" s="18">
        <v>30.03</v>
      </c>
      <c r="L78" s="18">
        <v>0.86</v>
      </c>
    </row>
    <row r="79" spans="2:12" ht="28.5" customHeight="1" thickBot="1" x14ac:dyDescent="0.45">
      <c r="B79" s="35" t="s">
        <v>17</v>
      </c>
      <c r="C79" s="14" t="s">
        <v>66</v>
      </c>
      <c r="D79" s="36">
        <v>100</v>
      </c>
      <c r="E79" s="6">
        <v>0.4</v>
      </c>
      <c r="F79" s="6">
        <v>0.4</v>
      </c>
      <c r="G79" s="6">
        <v>9.8000000000000007</v>
      </c>
      <c r="H79" s="6">
        <v>47</v>
      </c>
      <c r="I79" s="18">
        <v>10</v>
      </c>
      <c r="J79" s="8">
        <v>16</v>
      </c>
      <c r="K79" s="39">
        <v>9</v>
      </c>
      <c r="L79" s="34">
        <v>2.2000000000000002</v>
      </c>
    </row>
    <row r="80" spans="2:12" ht="28.5" customHeight="1" thickBot="1" x14ac:dyDescent="0.45">
      <c r="B80" s="37"/>
      <c r="C80" s="100" t="s">
        <v>2</v>
      </c>
      <c r="D80" s="101">
        <f t="shared" ref="D80:L80" si="10">SUM(D72:D79)</f>
        <v>860</v>
      </c>
      <c r="E80" s="66">
        <f t="shared" si="10"/>
        <v>30.169999999999998</v>
      </c>
      <c r="F80" s="124">
        <f t="shared" si="10"/>
        <v>23.409999999999997</v>
      </c>
      <c r="G80" s="124">
        <f t="shared" si="10"/>
        <v>154.66624999999999</v>
      </c>
      <c r="H80" s="124">
        <f t="shared" si="10"/>
        <v>941.5</v>
      </c>
      <c r="I80" s="124">
        <f t="shared" si="10"/>
        <v>135.26999999999998</v>
      </c>
      <c r="J80" s="124">
        <f t="shared" si="10"/>
        <v>336.64</v>
      </c>
      <c r="K80" s="124">
        <f t="shared" si="10"/>
        <v>184.72</v>
      </c>
      <c r="L80" s="124">
        <f t="shared" si="10"/>
        <v>13.740000000000002</v>
      </c>
    </row>
    <row r="81" spans="2:12" ht="29.25" customHeight="1" thickBot="1" x14ac:dyDescent="0.45">
      <c r="B81" s="9"/>
      <c r="C81" s="67" t="s">
        <v>3</v>
      </c>
      <c r="D81" s="68">
        <f t="shared" ref="D81:L81" si="11">D80+D70</f>
        <v>1360</v>
      </c>
      <c r="E81" s="69">
        <f t="shared" si="11"/>
        <v>57.117058823529412</v>
      </c>
      <c r="F81" s="69">
        <f t="shared" si="11"/>
        <v>46.051176470588231</v>
      </c>
      <c r="G81" s="69">
        <f t="shared" si="11"/>
        <v>222.03625</v>
      </c>
      <c r="H81" s="69">
        <f t="shared" si="11"/>
        <v>1514.3882352941177</v>
      </c>
      <c r="I81" s="69">
        <f t="shared" si="11"/>
        <v>150.40529411764703</v>
      </c>
      <c r="J81" s="69">
        <f t="shared" si="11"/>
        <v>493.85764705882355</v>
      </c>
      <c r="K81" s="69">
        <f t="shared" si="11"/>
        <v>272.60823529411766</v>
      </c>
      <c r="L81" s="64">
        <f t="shared" si="11"/>
        <v>22.847647058823533</v>
      </c>
    </row>
    <row r="82" spans="2:12" ht="37.950000000000003" customHeight="1" thickBot="1" x14ac:dyDescent="0.45">
      <c r="B82" s="2" t="s">
        <v>9</v>
      </c>
      <c r="C82" s="41"/>
      <c r="D82" s="41"/>
      <c r="E82" s="41"/>
      <c r="F82" s="41"/>
      <c r="G82" s="41"/>
      <c r="H82" s="41"/>
      <c r="I82" s="41"/>
      <c r="J82" s="41"/>
      <c r="K82" s="41"/>
      <c r="L82" s="42"/>
    </row>
    <row r="83" spans="2:12" ht="24.75" customHeight="1" thickBot="1" x14ac:dyDescent="0.45">
      <c r="B83" s="172" t="s">
        <v>4</v>
      </c>
      <c r="C83" s="166" t="s">
        <v>0</v>
      </c>
      <c r="D83" s="166" t="s">
        <v>31</v>
      </c>
      <c r="E83" s="163" t="s">
        <v>12</v>
      </c>
      <c r="F83" s="164"/>
      <c r="G83" s="164"/>
      <c r="H83" s="165"/>
      <c r="I83" s="168" t="s">
        <v>36</v>
      </c>
      <c r="J83" s="170" t="s">
        <v>37</v>
      </c>
      <c r="K83" s="170" t="s">
        <v>38</v>
      </c>
      <c r="L83" s="170" t="s">
        <v>40</v>
      </c>
    </row>
    <row r="84" spans="2:12" ht="59.25" customHeight="1" thickBot="1" x14ac:dyDescent="0.45">
      <c r="B84" s="173"/>
      <c r="C84" s="167"/>
      <c r="D84" s="167"/>
      <c r="E84" s="23" t="s">
        <v>32</v>
      </c>
      <c r="F84" s="23" t="s">
        <v>33</v>
      </c>
      <c r="G84" s="23" t="s">
        <v>34</v>
      </c>
      <c r="H84" s="23" t="s">
        <v>35</v>
      </c>
      <c r="I84" s="169"/>
      <c r="J84" s="171"/>
      <c r="K84" s="171"/>
      <c r="L84" s="171"/>
    </row>
    <row r="85" spans="2:12" ht="25.5" customHeight="1" thickBot="1" x14ac:dyDescent="0.45">
      <c r="B85" s="29" t="s">
        <v>27</v>
      </c>
      <c r="C85" s="30"/>
      <c r="D85" s="30"/>
      <c r="E85" s="30"/>
      <c r="F85" s="30"/>
      <c r="G85" s="30"/>
      <c r="H85" s="30"/>
      <c r="I85" s="30"/>
      <c r="J85" s="30"/>
      <c r="K85" s="30"/>
      <c r="L85" s="32"/>
    </row>
    <row r="86" spans="2:12" ht="30.75" customHeight="1" thickBot="1" x14ac:dyDescent="0.45">
      <c r="B86" s="35" t="s">
        <v>67</v>
      </c>
      <c r="C86" s="4" t="s">
        <v>44</v>
      </c>
      <c r="D86" s="5">
        <v>250</v>
      </c>
      <c r="E86" s="6">
        <v>15.8</v>
      </c>
      <c r="F86" s="6">
        <v>11.8</v>
      </c>
      <c r="G86" s="6">
        <v>43.56</v>
      </c>
      <c r="H86" s="6">
        <v>315.29000000000002</v>
      </c>
      <c r="I86" s="6">
        <v>1.62</v>
      </c>
      <c r="J86" s="6">
        <v>158.62</v>
      </c>
      <c r="K86" s="39">
        <v>45.44</v>
      </c>
      <c r="L86" s="16">
        <v>0.73</v>
      </c>
    </row>
    <row r="87" spans="2:12" ht="28.5" customHeight="1" thickBot="1" x14ac:dyDescent="0.45">
      <c r="B87" s="9" t="s">
        <v>19</v>
      </c>
      <c r="C87" s="10" t="s">
        <v>52</v>
      </c>
      <c r="D87" s="11">
        <v>10</v>
      </c>
      <c r="E87" s="12">
        <v>0.05</v>
      </c>
      <c r="F87" s="12">
        <v>8.25</v>
      </c>
      <c r="G87" s="12">
        <v>0.08</v>
      </c>
      <c r="H87" s="12">
        <v>74.8</v>
      </c>
      <c r="I87" s="12">
        <v>0</v>
      </c>
      <c r="J87" s="12">
        <v>2.4</v>
      </c>
      <c r="K87" s="13">
        <v>0.05</v>
      </c>
      <c r="L87" s="7">
        <v>0.02</v>
      </c>
    </row>
    <row r="88" spans="2:12" ht="30" customHeight="1" thickBot="1" x14ac:dyDescent="0.45">
      <c r="B88" s="9" t="s">
        <v>65</v>
      </c>
      <c r="C88" s="14" t="s">
        <v>97</v>
      </c>
      <c r="D88" s="11">
        <v>40</v>
      </c>
      <c r="E88" s="6">
        <f>7.7*40/100</f>
        <v>3.08</v>
      </c>
      <c r="F88" s="6">
        <f>3*40/100</f>
        <v>1.2</v>
      </c>
      <c r="G88" s="6">
        <f>50.1*40/100</f>
        <v>20.04</v>
      </c>
      <c r="H88" s="6">
        <f>259*40/100</f>
        <v>103.6</v>
      </c>
      <c r="I88" s="6">
        <v>0</v>
      </c>
      <c r="J88" s="6">
        <f>22*40/100</f>
        <v>8.8000000000000007</v>
      </c>
      <c r="K88" s="18">
        <f>33*40/100</f>
        <v>13.2</v>
      </c>
      <c r="L88" s="7">
        <f>2*40/100</f>
        <v>0.8</v>
      </c>
    </row>
    <row r="89" spans="2:12" ht="30" customHeight="1" thickBot="1" x14ac:dyDescent="0.45">
      <c r="B89" s="9" t="s">
        <v>13</v>
      </c>
      <c r="C89" s="19" t="s">
        <v>45</v>
      </c>
      <c r="D89" s="11">
        <v>200</v>
      </c>
      <c r="E89" s="12">
        <v>0</v>
      </c>
      <c r="F89" s="12">
        <v>0</v>
      </c>
      <c r="G89" s="12">
        <v>6.9860000000000007</v>
      </c>
      <c r="H89" s="12">
        <v>27.93</v>
      </c>
      <c r="I89" s="12">
        <v>0.05</v>
      </c>
      <c r="J89" s="12">
        <v>2.69</v>
      </c>
      <c r="K89" s="18">
        <v>2.2000000000000002</v>
      </c>
      <c r="L89" s="7">
        <v>0.43</v>
      </c>
    </row>
    <row r="90" spans="2:12" ht="33" customHeight="1" thickBot="1" x14ac:dyDescent="0.45">
      <c r="B90" s="141"/>
      <c r="C90" s="158" t="s">
        <v>28</v>
      </c>
      <c r="D90" s="159">
        <f t="shared" ref="D90:L90" si="12">SUM(D86:D89)</f>
        <v>500</v>
      </c>
      <c r="E90" s="102">
        <f t="shared" si="12"/>
        <v>18.93</v>
      </c>
      <c r="F90" s="102">
        <f t="shared" si="12"/>
        <v>21.25</v>
      </c>
      <c r="G90" s="102">
        <f t="shared" si="12"/>
        <v>70.665999999999997</v>
      </c>
      <c r="H90" s="64">
        <f t="shared" si="12"/>
        <v>521.62</v>
      </c>
      <c r="I90" s="64">
        <f t="shared" si="12"/>
        <v>1.6700000000000002</v>
      </c>
      <c r="J90" s="64">
        <f t="shared" si="12"/>
        <v>172.51000000000002</v>
      </c>
      <c r="K90" s="64">
        <f t="shared" si="12"/>
        <v>60.89</v>
      </c>
      <c r="L90" s="64">
        <f t="shared" si="12"/>
        <v>1.98</v>
      </c>
    </row>
    <row r="91" spans="2:12" ht="25.5" customHeight="1" thickBot="1" x14ac:dyDescent="0.45">
      <c r="B91" s="29" t="s">
        <v>1</v>
      </c>
      <c r="C91" s="30"/>
      <c r="D91" s="31"/>
      <c r="E91" s="30"/>
      <c r="F91" s="30"/>
      <c r="G91" s="30"/>
      <c r="H91" s="30"/>
      <c r="I91" s="30"/>
      <c r="J91" s="30"/>
      <c r="K91" s="30"/>
      <c r="L91" s="32"/>
    </row>
    <row r="92" spans="2:12" ht="30.75" customHeight="1" thickBot="1" x14ac:dyDescent="0.45">
      <c r="B92" s="58" t="s">
        <v>64</v>
      </c>
      <c r="C92" s="70" t="s">
        <v>39</v>
      </c>
      <c r="D92" s="71">
        <v>60</v>
      </c>
      <c r="E92" s="16">
        <v>0.96</v>
      </c>
      <c r="F92" s="16">
        <v>3.78</v>
      </c>
      <c r="G92" s="16">
        <v>4.4400000000000004</v>
      </c>
      <c r="H92" s="16">
        <v>54.48</v>
      </c>
      <c r="I92" s="16">
        <v>10.199999999999999</v>
      </c>
      <c r="J92" s="46">
        <v>12.6</v>
      </c>
      <c r="K92" s="13">
        <v>3.12</v>
      </c>
      <c r="L92" s="7">
        <v>0.06</v>
      </c>
    </row>
    <row r="93" spans="2:12" ht="30" customHeight="1" thickBot="1" x14ac:dyDescent="0.45">
      <c r="B93" s="35" t="s">
        <v>18</v>
      </c>
      <c r="C93" s="14" t="s">
        <v>60</v>
      </c>
      <c r="D93" s="36">
        <v>200</v>
      </c>
      <c r="E93" s="6">
        <v>1.98</v>
      </c>
      <c r="F93" s="6">
        <v>3.51</v>
      </c>
      <c r="G93" s="6">
        <v>13.74</v>
      </c>
      <c r="H93" s="6">
        <v>95.14</v>
      </c>
      <c r="I93" s="39">
        <v>13.42</v>
      </c>
      <c r="J93" s="34">
        <v>20.309999999999999</v>
      </c>
      <c r="K93" s="39">
        <v>21.25</v>
      </c>
      <c r="L93" s="39">
        <v>0.8</v>
      </c>
    </row>
    <row r="94" spans="2:12" ht="30.75" customHeight="1" thickBot="1" x14ac:dyDescent="0.45">
      <c r="B94" s="35" t="s">
        <v>62</v>
      </c>
      <c r="C94" s="14" t="s">
        <v>61</v>
      </c>
      <c r="D94" s="36">
        <v>200</v>
      </c>
      <c r="E94" s="6">
        <v>17.07</v>
      </c>
      <c r="F94" s="6">
        <v>19.82</v>
      </c>
      <c r="G94" s="6">
        <v>31.43</v>
      </c>
      <c r="H94" s="6">
        <v>372.22</v>
      </c>
      <c r="I94" s="16">
        <v>17.13</v>
      </c>
      <c r="J94" s="38">
        <v>141.36000000000001</v>
      </c>
      <c r="K94" s="13">
        <v>51.09</v>
      </c>
      <c r="L94" s="7">
        <v>1.48</v>
      </c>
    </row>
    <row r="95" spans="2:12" ht="31.5" customHeight="1" thickBot="1" x14ac:dyDescent="0.45">
      <c r="B95" s="35" t="s">
        <v>14</v>
      </c>
      <c r="C95" s="14" t="s">
        <v>42</v>
      </c>
      <c r="D95" s="36">
        <v>45</v>
      </c>
      <c r="E95" s="6">
        <v>3.4200000000000004</v>
      </c>
      <c r="F95" s="6">
        <v>0.36</v>
      </c>
      <c r="G95" s="6">
        <v>22.106249999999996</v>
      </c>
      <c r="H95" s="6">
        <v>105.75</v>
      </c>
      <c r="I95" s="16">
        <v>0</v>
      </c>
      <c r="J95" s="38">
        <v>10.349999999999998</v>
      </c>
      <c r="K95" s="18">
        <v>14.85</v>
      </c>
      <c r="L95" s="7">
        <v>0.85500000000000009</v>
      </c>
    </row>
    <row r="96" spans="2:12" ht="31.5" customHeight="1" thickBot="1" x14ac:dyDescent="0.45">
      <c r="B96" s="9" t="s">
        <v>16</v>
      </c>
      <c r="C96" s="19" t="s">
        <v>43</v>
      </c>
      <c r="D96" s="11">
        <v>25</v>
      </c>
      <c r="E96" s="12">
        <v>1.65</v>
      </c>
      <c r="F96" s="12">
        <v>3</v>
      </c>
      <c r="G96" s="12">
        <v>8.35</v>
      </c>
      <c r="H96" s="12">
        <v>43.5</v>
      </c>
      <c r="I96" s="7">
        <v>0</v>
      </c>
      <c r="J96" s="17">
        <v>8.25</v>
      </c>
      <c r="K96" s="18">
        <v>14.250000000000002</v>
      </c>
      <c r="L96" s="7">
        <v>1.125</v>
      </c>
    </row>
    <row r="97" spans="2:12" ht="30.75" customHeight="1" thickBot="1" x14ac:dyDescent="0.45">
      <c r="B97" s="9" t="s">
        <v>55</v>
      </c>
      <c r="C97" s="28" t="s">
        <v>56</v>
      </c>
      <c r="D97" s="15">
        <v>180</v>
      </c>
      <c r="E97" s="16">
        <v>0.9</v>
      </c>
      <c r="F97" s="16">
        <v>0.18</v>
      </c>
      <c r="G97" s="16">
        <v>18.18</v>
      </c>
      <c r="H97" s="6">
        <v>82.8</v>
      </c>
      <c r="I97" s="7">
        <v>3.6</v>
      </c>
      <c r="J97" s="17">
        <v>12.6</v>
      </c>
      <c r="K97" s="18">
        <v>7.2</v>
      </c>
      <c r="L97" s="7">
        <v>2.52</v>
      </c>
    </row>
    <row r="98" spans="2:12" ht="31.2" customHeight="1" thickBot="1" x14ac:dyDescent="0.45">
      <c r="B98" s="108"/>
      <c r="C98" s="61" t="s">
        <v>2</v>
      </c>
      <c r="D98" s="62">
        <f t="shared" ref="D98:L98" si="13">SUM(D92:D97)</f>
        <v>710</v>
      </c>
      <c r="E98" s="63">
        <f t="shared" si="13"/>
        <v>25.98</v>
      </c>
      <c r="F98" s="63">
        <f t="shared" si="13"/>
        <v>30.65</v>
      </c>
      <c r="G98" s="63">
        <f t="shared" si="13"/>
        <v>98.246250000000003</v>
      </c>
      <c r="H98" s="63">
        <f t="shared" si="13"/>
        <v>753.89</v>
      </c>
      <c r="I98" s="63">
        <f t="shared" si="13"/>
        <v>44.35</v>
      </c>
      <c r="J98" s="63">
        <f t="shared" si="13"/>
        <v>205.47</v>
      </c>
      <c r="K98" s="63">
        <f t="shared" si="13"/>
        <v>111.76</v>
      </c>
      <c r="L98" s="66">
        <f t="shared" si="13"/>
        <v>6.84</v>
      </c>
    </row>
    <row r="99" spans="2:12" ht="31.95" customHeight="1" thickBot="1" x14ac:dyDescent="0.45">
      <c r="B99" s="108"/>
      <c r="C99" s="61" t="s">
        <v>3</v>
      </c>
      <c r="D99" s="62">
        <f t="shared" ref="D99:L99" si="14">D98+D90</f>
        <v>1210</v>
      </c>
      <c r="E99" s="63">
        <f t="shared" si="14"/>
        <v>44.91</v>
      </c>
      <c r="F99" s="63">
        <f t="shared" si="14"/>
        <v>51.9</v>
      </c>
      <c r="G99" s="63">
        <f t="shared" si="14"/>
        <v>168.91225</v>
      </c>
      <c r="H99" s="63">
        <f t="shared" si="14"/>
        <v>1275.51</v>
      </c>
      <c r="I99" s="63">
        <f t="shared" si="14"/>
        <v>46.02</v>
      </c>
      <c r="J99" s="63">
        <f t="shared" si="14"/>
        <v>377.98</v>
      </c>
      <c r="K99" s="63">
        <f t="shared" si="14"/>
        <v>172.65</v>
      </c>
      <c r="L99" s="64">
        <f t="shared" si="14"/>
        <v>8.82</v>
      </c>
    </row>
    <row r="100" spans="2:12" ht="34.5" customHeight="1" thickBot="1" x14ac:dyDescent="0.45">
      <c r="B100" s="2" t="s">
        <v>21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2"/>
    </row>
    <row r="101" spans="2:12" ht="21.75" customHeight="1" thickBot="1" x14ac:dyDescent="0.45">
      <c r="B101" s="172" t="s">
        <v>4</v>
      </c>
      <c r="C101" s="166" t="s">
        <v>0</v>
      </c>
      <c r="D101" s="166" t="s">
        <v>31</v>
      </c>
      <c r="E101" s="163" t="s">
        <v>12</v>
      </c>
      <c r="F101" s="164"/>
      <c r="G101" s="164"/>
      <c r="H101" s="165"/>
      <c r="I101" s="168" t="s">
        <v>36</v>
      </c>
      <c r="J101" s="170" t="s">
        <v>37</v>
      </c>
      <c r="K101" s="170" t="s">
        <v>38</v>
      </c>
      <c r="L101" s="170" t="s">
        <v>40</v>
      </c>
    </row>
    <row r="102" spans="2:12" ht="56.25" customHeight="1" thickBot="1" x14ac:dyDescent="0.45">
      <c r="B102" s="173"/>
      <c r="C102" s="167"/>
      <c r="D102" s="167"/>
      <c r="E102" s="23" t="s">
        <v>32</v>
      </c>
      <c r="F102" s="23" t="s">
        <v>33</v>
      </c>
      <c r="G102" s="23" t="s">
        <v>34</v>
      </c>
      <c r="H102" s="23" t="s">
        <v>35</v>
      </c>
      <c r="I102" s="169"/>
      <c r="J102" s="171"/>
      <c r="K102" s="171"/>
      <c r="L102" s="171"/>
    </row>
    <row r="103" spans="2:12" ht="28.5" customHeight="1" thickBot="1" x14ac:dyDescent="0.45">
      <c r="B103" s="29" t="s">
        <v>27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2"/>
    </row>
    <row r="104" spans="2:12" ht="27" customHeight="1" thickBot="1" x14ac:dyDescent="0.45">
      <c r="B104" s="9" t="s">
        <v>72</v>
      </c>
      <c r="C104" s="10" t="s">
        <v>71</v>
      </c>
      <c r="D104" s="11">
        <v>40</v>
      </c>
      <c r="E104" s="12">
        <v>1.24</v>
      </c>
      <c r="F104" s="12">
        <v>0.08</v>
      </c>
      <c r="G104" s="12">
        <v>2.6</v>
      </c>
      <c r="H104" s="12">
        <v>16</v>
      </c>
      <c r="I104" s="12">
        <v>3.12</v>
      </c>
      <c r="J104" s="7">
        <v>8</v>
      </c>
      <c r="K104" s="26">
        <v>5.71</v>
      </c>
      <c r="L104" s="7">
        <v>0.27</v>
      </c>
    </row>
    <row r="105" spans="2:12" ht="27" customHeight="1" thickBot="1" x14ac:dyDescent="0.45">
      <c r="B105" s="9" t="s">
        <v>54</v>
      </c>
      <c r="C105" s="4" t="s">
        <v>53</v>
      </c>
      <c r="D105" s="11">
        <v>150</v>
      </c>
      <c r="E105" s="12">
        <v>10.210000000000001</v>
      </c>
      <c r="F105" s="12">
        <v>11.9</v>
      </c>
      <c r="G105" s="12">
        <v>1.92</v>
      </c>
      <c r="H105" s="12">
        <v>161.88</v>
      </c>
      <c r="I105" s="12">
        <v>0.43</v>
      </c>
      <c r="J105" s="12">
        <v>86.51</v>
      </c>
      <c r="K105" s="13">
        <v>14.59</v>
      </c>
      <c r="L105" s="7">
        <v>2.1</v>
      </c>
    </row>
    <row r="106" spans="2:12" ht="26.25" customHeight="1" thickBot="1" x14ac:dyDescent="0.45">
      <c r="B106" s="9" t="s">
        <v>19</v>
      </c>
      <c r="C106" s="10" t="s">
        <v>52</v>
      </c>
      <c r="D106" s="11">
        <v>10</v>
      </c>
      <c r="E106" s="12">
        <v>0.05</v>
      </c>
      <c r="F106" s="12">
        <v>8.25</v>
      </c>
      <c r="G106" s="12">
        <v>0.08</v>
      </c>
      <c r="H106" s="12">
        <v>74.8</v>
      </c>
      <c r="I106" s="12">
        <v>0</v>
      </c>
      <c r="J106" s="12">
        <v>2.4</v>
      </c>
      <c r="K106" s="13">
        <v>0.05</v>
      </c>
      <c r="L106" s="7">
        <v>0.02</v>
      </c>
    </row>
    <row r="107" spans="2:12" ht="27.75" customHeight="1" thickBot="1" x14ac:dyDescent="0.45">
      <c r="B107" s="9" t="s">
        <v>65</v>
      </c>
      <c r="C107" s="19" t="s">
        <v>97</v>
      </c>
      <c r="D107" s="11">
        <v>50</v>
      </c>
      <c r="E107" s="12">
        <f>3.08*50/40</f>
        <v>3.85</v>
      </c>
      <c r="F107" s="12">
        <f>1.2*50/40</f>
        <v>1.5</v>
      </c>
      <c r="G107" s="12">
        <f>20.04*50/40</f>
        <v>25.05</v>
      </c>
      <c r="H107" s="12">
        <f>103.6*50/40</f>
        <v>129.5</v>
      </c>
      <c r="I107" s="12">
        <v>0</v>
      </c>
      <c r="J107" s="12">
        <f>8.8*50/40</f>
        <v>11.000000000000002</v>
      </c>
      <c r="K107" s="13">
        <f>13.2*50/40</f>
        <v>16.5</v>
      </c>
      <c r="L107" s="7">
        <f>0.8*50/40</f>
        <v>1</v>
      </c>
    </row>
    <row r="108" spans="2:12" ht="27" customHeight="1" thickBot="1" x14ac:dyDescent="0.45">
      <c r="B108" s="35" t="s">
        <v>16</v>
      </c>
      <c r="C108" s="14" t="s">
        <v>43</v>
      </c>
      <c r="D108" s="36">
        <v>50</v>
      </c>
      <c r="E108" s="6">
        <v>3.3</v>
      </c>
      <c r="F108" s="6">
        <v>0.6</v>
      </c>
      <c r="G108" s="6">
        <v>16.7</v>
      </c>
      <c r="H108" s="6">
        <v>87</v>
      </c>
      <c r="I108" s="16">
        <v>0</v>
      </c>
      <c r="J108" s="38">
        <v>16.5</v>
      </c>
      <c r="K108" s="39">
        <v>28.5</v>
      </c>
      <c r="L108" s="16">
        <v>2.25</v>
      </c>
    </row>
    <row r="109" spans="2:12" ht="26.4" customHeight="1" thickBot="1" x14ac:dyDescent="0.45">
      <c r="B109" s="9" t="s">
        <v>26</v>
      </c>
      <c r="C109" s="19" t="s">
        <v>76</v>
      </c>
      <c r="D109" s="11">
        <v>200</v>
      </c>
      <c r="E109" s="12">
        <f>1.04*200/180</f>
        <v>1.1555555555555554</v>
      </c>
      <c r="F109" s="12">
        <f>0.27*200/180</f>
        <v>0.3</v>
      </c>
      <c r="G109" s="12">
        <f>42.53*200/180</f>
        <v>47.255555555555553</v>
      </c>
      <c r="H109" s="12">
        <f>176.74*200/180</f>
        <v>196.37777777777777</v>
      </c>
      <c r="I109" s="12">
        <f>0.72*200/180</f>
        <v>0.8</v>
      </c>
      <c r="J109" s="12">
        <f>5.26*200/180</f>
        <v>5.8444444444444441</v>
      </c>
      <c r="K109" s="18">
        <f>30.03*200/180</f>
        <v>33.366666666666667</v>
      </c>
      <c r="L109" s="7">
        <f>0.86*200/180</f>
        <v>0.9555555555555556</v>
      </c>
    </row>
    <row r="110" spans="2:12" ht="31.5" customHeight="1" thickBot="1" x14ac:dyDescent="0.45">
      <c r="B110" s="142"/>
      <c r="C110" s="143" t="s">
        <v>28</v>
      </c>
      <c r="D110" s="99">
        <f t="shared" ref="D110:L110" si="15">SUM(D104:D109)</f>
        <v>500</v>
      </c>
      <c r="E110" s="64">
        <f t="shared" si="15"/>
        <v>19.805555555555557</v>
      </c>
      <c r="F110" s="64">
        <f t="shared" si="15"/>
        <v>22.630000000000003</v>
      </c>
      <c r="G110" s="64">
        <f t="shared" si="15"/>
        <v>93.605555555555554</v>
      </c>
      <c r="H110" s="64">
        <f t="shared" si="15"/>
        <v>665.5577777777778</v>
      </c>
      <c r="I110" s="64">
        <f t="shared" si="15"/>
        <v>4.3500000000000005</v>
      </c>
      <c r="J110" s="64">
        <f t="shared" si="15"/>
        <v>130.25444444444446</v>
      </c>
      <c r="K110" s="64">
        <f t="shared" si="15"/>
        <v>98.716666666666669</v>
      </c>
      <c r="L110" s="64">
        <f t="shared" si="15"/>
        <v>6.5955555555555563</v>
      </c>
    </row>
    <row r="111" spans="2:12" ht="28.5" customHeight="1" thickBot="1" x14ac:dyDescent="0.45">
      <c r="B111" s="29" t="s">
        <v>1</v>
      </c>
      <c r="C111" s="30"/>
      <c r="D111" s="31"/>
      <c r="E111" s="30"/>
      <c r="F111" s="30"/>
      <c r="G111" s="30"/>
      <c r="H111" s="30"/>
      <c r="I111" s="30"/>
      <c r="J111" s="30"/>
      <c r="K111" s="30"/>
      <c r="L111" s="32"/>
    </row>
    <row r="112" spans="2:12" ht="27" customHeight="1" thickBot="1" x14ac:dyDescent="0.45">
      <c r="B112" s="44" t="s">
        <v>69</v>
      </c>
      <c r="C112" s="45" t="s">
        <v>81</v>
      </c>
      <c r="D112" s="36">
        <v>60</v>
      </c>
      <c r="E112" s="33">
        <v>0.66</v>
      </c>
      <c r="F112" s="33">
        <v>0.12</v>
      </c>
      <c r="G112" s="33">
        <v>2.2799999999999998</v>
      </c>
      <c r="H112" s="33">
        <v>13.2</v>
      </c>
      <c r="I112" s="16">
        <v>10.5</v>
      </c>
      <c r="J112" s="46">
        <v>8.4</v>
      </c>
      <c r="K112" s="39">
        <v>12</v>
      </c>
      <c r="L112" s="16">
        <v>0.54</v>
      </c>
    </row>
    <row r="113" spans="2:12" ht="27.75" customHeight="1" thickBot="1" x14ac:dyDescent="0.45">
      <c r="B113" s="35" t="s">
        <v>116</v>
      </c>
      <c r="C113" s="14" t="s">
        <v>114</v>
      </c>
      <c r="D113" s="36">
        <v>200</v>
      </c>
      <c r="E113" s="6">
        <v>1.53</v>
      </c>
      <c r="F113" s="6">
        <v>3.9</v>
      </c>
      <c r="G113" s="6">
        <v>6.67</v>
      </c>
      <c r="H113" s="12">
        <v>118.96</v>
      </c>
      <c r="I113" s="18">
        <v>23.64</v>
      </c>
      <c r="J113" s="26">
        <v>42.83</v>
      </c>
      <c r="K113" s="18">
        <v>16.77</v>
      </c>
      <c r="L113" s="18">
        <v>0.59</v>
      </c>
    </row>
    <row r="114" spans="2:12" ht="26.25" customHeight="1" thickBot="1" x14ac:dyDescent="0.45">
      <c r="B114" s="35" t="s">
        <v>91</v>
      </c>
      <c r="C114" s="14" t="s">
        <v>73</v>
      </c>
      <c r="D114" s="36">
        <v>100</v>
      </c>
      <c r="E114" s="6">
        <v>10.63</v>
      </c>
      <c r="F114" s="6">
        <v>12.64</v>
      </c>
      <c r="G114" s="6">
        <v>13.07</v>
      </c>
      <c r="H114" s="6">
        <v>209.45</v>
      </c>
      <c r="I114" s="16">
        <v>0.54</v>
      </c>
      <c r="J114" s="38">
        <v>60.77</v>
      </c>
      <c r="K114" s="18">
        <v>33.950000000000003</v>
      </c>
      <c r="L114" s="7">
        <v>1.2</v>
      </c>
    </row>
    <row r="115" spans="2:12" ht="25.5" customHeight="1" thickBot="1" x14ac:dyDescent="0.45">
      <c r="B115" s="35" t="s">
        <v>59</v>
      </c>
      <c r="C115" s="14" t="s">
        <v>115</v>
      </c>
      <c r="D115" s="36">
        <v>150</v>
      </c>
      <c r="E115" s="6">
        <v>6.6</v>
      </c>
      <c r="F115" s="6">
        <v>5.4</v>
      </c>
      <c r="G115" s="6">
        <v>38.549999999999997</v>
      </c>
      <c r="H115" s="6">
        <v>229</v>
      </c>
      <c r="I115" s="16">
        <v>0</v>
      </c>
      <c r="J115" s="38">
        <v>16.5</v>
      </c>
      <c r="K115" s="18">
        <v>18</v>
      </c>
      <c r="L115" s="7">
        <v>1.27</v>
      </c>
    </row>
    <row r="116" spans="2:12" ht="27" customHeight="1" thickBot="1" x14ac:dyDescent="0.45">
      <c r="B116" s="35" t="s">
        <v>14</v>
      </c>
      <c r="C116" s="14" t="s">
        <v>42</v>
      </c>
      <c r="D116" s="36">
        <v>45</v>
      </c>
      <c r="E116" s="6">
        <v>3.4200000000000004</v>
      </c>
      <c r="F116" s="6">
        <v>0.36</v>
      </c>
      <c r="G116" s="6">
        <v>22.106249999999996</v>
      </c>
      <c r="H116" s="6">
        <v>105.75</v>
      </c>
      <c r="I116" s="16">
        <v>0</v>
      </c>
      <c r="J116" s="38">
        <v>10.349999999999998</v>
      </c>
      <c r="K116" s="18">
        <v>14.85</v>
      </c>
      <c r="L116" s="7">
        <v>0.85500000000000009</v>
      </c>
    </row>
    <row r="117" spans="2:12" ht="26.25" customHeight="1" thickBot="1" x14ac:dyDescent="0.45">
      <c r="B117" s="35" t="s">
        <v>16</v>
      </c>
      <c r="C117" s="14" t="s">
        <v>43</v>
      </c>
      <c r="D117" s="36">
        <v>25</v>
      </c>
      <c r="E117" s="6">
        <f>1.98*25/30</f>
        <v>1.65</v>
      </c>
      <c r="F117" s="6">
        <f>0.36*250/30</f>
        <v>3</v>
      </c>
      <c r="G117" s="6">
        <f>10.02*25/30</f>
        <v>8.35</v>
      </c>
      <c r="H117" s="6">
        <f>52.2*25/30</f>
        <v>43.5</v>
      </c>
      <c r="I117" s="16">
        <v>0</v>
      </c>
      <c r="J117" s="38">
        <f>9.9*25/30</f>
        <v>8.25</v>
      </c>
      <c r="K117" s="39">
        <f>17.1*25/30</f>
        <v>14.250000000000002</v>
      </c>
      <c r="L117" s="16">
        <f>1.35*25/30</f>
        <v>1.125</v>
      </c>
    </row>
    <row r="118" spans="2:12" ht="27" customHeight="1" thickBot="1" x14ac:dyDescent="0.45">
      <c r="B118" s="9" t="s">
        <v>13</v>
      </c>
      <c r="C118" s="28" t="s">
        <v>45</v>
      </c>
      <c r="D118" s="15">
        <v>180</v>
      </c>
      <c r="E118" s="16">
        <v>0</v>
      </c>
      <c r="F118" s="16">
        <v>0</v>
      </c>
      <c r="G118" s="16">
        <v>6.29</v>
      </c>
      <c r="H118" s="6">
        <v>25.14</v>
      </c>
      <c r="I118" s="7">
        <v>0.05</v>
      </c>
      <c r="J118" s="17">
        <v>2.42</v>
      </c>
      <c r="K118" s="18">
        <v>1.98</v>
      </c>
      <c r="L118" s="7">
        <v>0.39</v>
      </c>
    </row>
    <row r="119" spans="2:12" ht="32.25" customHeight="1" thickBot="1" x14ac:dyDescent="0.45">
      <c r="B119" s="35"/>
      <c r="C119" s="61" t="s">
        <v>2</v>
      </c>
      <c r="D119" s="62">
        <f t="shared" ref="D119:L119" si="16">SUM(D112:D118)</f>
        <v>760</v>
      </c>
      <c r="E119" s="63">
        <f t="shared" si="16"/>
        <v>24.490000000000002</v>
      </c>
      <c r="F119" s="63">
        <f t="shared" si="16"/>
        <v>25.42</v>
      </c>
      <c r="G119" s="63">
        <f t="shared" si="16"/>
        <v>97.316249999999982</v>
      </c>
      <c r="H119" s="63">
        <f t="shared" si="16"/>
        <v>745</v>
      </c>
      <c r="I119" s="64">
        <f t="shared" si="16"/>
        <v>34.729999999999997</v>
      </c>
      <c r="J119" s="65">
        <f t="shared" si="16"/>
        <v>149.51999999999998</v>
      </c>
      <c r="K119" s="66">
        <f t="shared" si="16"/>
        <v>111.8</v>
      </c>
      <c r="L119" s="66">
        <f t="shared" si="16"/>
        <v>5.97</v>
      </c>
    </row>
    <row r="120" spans="2:12" ht="33" customHeight="1" thickBot="1" x14ac:dyDescent="0.45">
      <c r="B120" s="9"/>
      <c r="C120" s="67" t="s">
        <v>3</v>
      </c>
      <c r="D120" s="68">
        <f t="shared" ref="D120:L120" si="17">D119+D110</f>
        <v>1260</v>
      </c>
      <c r="E120" s="69">
        <f t="shared" si="17"/>
        <v>44.295555555555559</v>
      </c>
      <c r="F120" s="69">
        <f t="shared" si="17"/>
        <v>48.050000000000004</v>
      </c>
      <c r="G120" s="69">
        <f t="shared" si="17"/>
        <v>190.92180555555552</v>
      </c>
      <c r="H120" s="69">
        <f t="shared" si="17"/>
        <v>1410.5577777777778</v>
      </c>
      <c r="I120" s="69">
        <f t="shared" si="17"/>
        <v>39.08</v>
      </c>
      <c r="J120" s="69">
        <f t="shared" si="17"/>
        <v>279.77444444444444</v>
      </c>
      <c r="K120" s="69">
        <f t="shared" si="17"/>
        <v>210.51666666666665</v>
      </c>
      <c r="L120" s="64">
        <f t="shared" si="17"/>
        <v>12.565555555555555</v>
      </c>
    </row>
    <row r="121" spans="2:12" ht="35.25" customHeight="1" thickBot="1" x14ac:dyDescent="0.45">
      <c r="B121" s="2" t="s">
        <v>22</v>
      </c>
      <c r="C121" s="41"/>
      <c r="D121" s="41"/>
      <c r="E121" s="41"/>
      <c r="F121" s="41"/>
      <c r="G121" s="41"/>
      <c r="H121" s="41"/>
      <c r="I121" s="41"/>
      <c r="J121" s="41"/>
      <c r="K121" s="41"/>
      <c r="L121" s="42"/>
    </row>
    <row r="122" spans="2:12" ht="21.75" customHeight="1" thickBot="1" x14ac:dyDescent="0.45">
      <c r="B122" s="172" t="s">
        <v>4</v>
      </c>
      <c r="C122" s="166" t="s">
        <v>0</v>
      </c>
      <c r="D122" s="166" t="s">
        <v>31</v>
      </c>
      <c r="E122" s="163" t="s">
        <v>12</v>
      </c>
      <c r="F122" s="164"/>
      <c r="G122" s="164"/>
      <c r="H122" s="165"/>
      <c r="I122" s="168" t="s">
        <v>36</v>
      </c>
      <c r="J122" s="170" t="s">
        <v>37</v>
      </c>
      <c r="K122" s="170" t="s">
        <v>38</v>
      </c>
      <c r="L122" s="170" t="s">
        <v>40</v>
      </c>
    </row>
    <row r="123" spans="2:12" ht="56.25" customHeight="1" thickBot="1" x14ac:dyDescent="0.45">
      <c r="B123" s="173"/>
      <c r="C123" s="167"/>
      <c r="D123" s="167"/>
      <c r="E123" s="23" t="s">
        <v>32</v>
      </c>
      <c r="F123" s="23" t="s">
        <v>33</v>
      </c>
      <c r="G123" s="23" t="s">
        <v>34</v>
      </c>
      <c r="H123" s="23" t="s">
        <v>35</v>
      </c>
      <c r="I123" s="169"/>
      <c r="J123" s="171"/>
      <c r="K123" s="171"/>
      <c r="L123" s="171"/>
    </row>
    <row r="124" spans="2:12" ht="27" customHeight="1" thickBot="1" x14ac:dyDescent="0.45">
      <c r="B124" s="29" t="s">
        <v>27</v>
      </c>
      <c r="C124" s="30"/>
      <c r="D124" s="30"/>
      <c r="E124" s="30"/>
      <c r="F124" s="30"/>
      <c r="G124" s="30"/>
      <c r="H124" s="30"/>
      <c r="I124" s="30"/>
      <c r="J124" s="30"/>
      <c r="K124" s="30"/>
      <c r="L124" s="32"/>
    </row>
    <row r="125" spans="2:12" ht="27" customHeight="1" thickBot="1" x14ac:dyDescent="0.45">
      <c r="B125" s="58" t="s">
        <v>69</v>
      </c>
      <c r="C125" s="14" t="s">
        <v>81</v>
      </c>
      <c r="D125" s="36">
        <v>60</v>
      </c>
      <c r="E125" s="33">
        <v>0.66</v>
      </c>
      <c r="F125" s="33">
        <v>0.12</v>
      </c>
      <c r="G125" s="33">
        <v>2.2799999999999998</v>
      </c>
      <c r="H125" s="33">
        <v>13.2</v>
      </c>
      <c r="I125" s="16">
        <v>10.5</v>
      </c>
      <c r="J125" s="46">
        <v>8.4</v>
      </c>
      <c r="K125" s="18">
        <v>12</v>
      </c>
      <c r="L125" s="7">
        <v>0.54</v>
      </c>
    </row>
    <row r="126" spans="2:12" ht="27" customHeight="1" thickBot="1" x14ac:dyDescent="0.45">
      <c r="B126" s="35" t="s">
        <v>99</v>
      </c>
      <c r="C126" s="14" t="s">
        <v>98</v>
      </c>
      <c r="D126" s="36">
        <v>100</v>
      </c>
      <c r="E126" s="6">
        <v>17.3</v>
      </c>
      <c r="F126" s="6">
        <v>13.58</v>
      </c>
      <c r="G126" s="6">
        <v>11.8</v>
      </c>
      <c r="H126" s="6">
        <v>222</v>
      </c>
      <c r="I126" s="6">
        <v>8.1</v>
      </c>
      <c r="J126" s="6">
        <v>14</v>
      </c>
      <c r="K126" s="18">
        <v>20</v>
      </c>
      <c r="L126" s="7">
        <v>5.7</v>
      </c>
    </row>
    <row r="127" spans="2:12" ht="28.5" customHeight="1" thickBot="1" x14ac:dyDescent="0.45">
      <c r="B127" s="35" t="s">
        <v>96</v>
      </c>
      <c r="C127" s="14" t="s">
        <v>74</v>
      </c>
      <c r="D127" s="36">
        <v>150</v>
      </c>
      <c r="E127" s="6">
        <v>3.25</v>
      </c>
      <c r="F127" s="6">
        <v>2.88</v>
      </c>
      <c r="G127" s="6">
        <v>28.99</v>
      </c>
      <c r="H127" s="6">
        <v>189.56</v>
      </c>
      <c r="I127" s="7">
        <v>25.95</v>
      </c>
      <c r="J127" s="38">
        <v>145.59</v>
      </c>
      <c r="K127" s="18">
        <v>32.99</v>
      </c>
      <c r="L127" s="7">
        <v>1.22</v>
      </c>
    </row>
    <row r="128" spans="2:12" ht="27.75" customHeight="1" thickBot="1" x14ac:dyDescent="0.45">
      <c r="B128" s="9" t="s">
        <v>14</v>
      </c>
      <c r="C128" s="28" t="s">
        <v>42</v>
      </c>
      <c r="D128" s="36">
        <v>20</v>
      </c>
      <c r="E128" s="6">
        <v>1.52</v>
      </c>
      <c r="F128" s="6">
        <v>0.16</v>
      </c>
      <c r="G128" s="6">
        <v>9.84</v>
      </c>
      <c r="H128" s="6">
        <v>47</v>
      </c>
      <c r="I128" s="6">
        <v>0</v>
      </c>
      <c r="J128" s="6">
        <v>4.5999999999999996</v>
      </c>
      <c r="K128" s="18">
        <v>6.6</v>
      </c>
      <c r="L128" s="7">
        <v>0.38</v>
      </c>
    </row>
    <row r="129" spans="2:13" ht="27" customHeight="1" thickBot="1" x14ac:dyDescent="0.45">
      <c r="B129" s="35" t="s">
        <v>16</v>
      </c>
      <c r="C129" s="14" t="s">
        <v>43</v>
      </c>
      <c r="D129" s="36">
        <v>40</v>
      </c>
      <c r="E129" s="6">
        <v>1.32</v>
      </c>
      <c r="F129" s="6">
        <v>0.24</v>
      </c>
      <c r="G129" s="6">
        <f>13.36/2</f>
        <v>6.68</v>
      </c>
      <c r="H129" s="6">
        <f>69.6/2</f>
        <v>34.799999999999997</v>
      </c>
      <c r="I129" s="7">
        <v>0</v>
      </c>
      <c r="J129" s="38">
        <f>13.2/2</f>
        <v>6.6</v>
      </c>
      <c r="K129" s="18">
        <v>11.4</v>
      </c>
      <c r="L129" s="7">
        <f>1.8/2</f>
        <v>0.9</v>
      </c>
    </row>
    <row r="130" spans="2:13" ht="30" customHeight="1" thickBot="1" x14ac:dyDescent="0.45">
      <c r="B130" s="9" t="s">
        <v>55</v>
      </c>
      <c r="C130" s="10" t="s">
        <v>56</v>
      </c>
      <c r="D130" s="11">
        <v>180</v>
      </c>
      <c r="E130" s="12">
        <v>0.9</v>
      </c>
      <c r="F130" s="12">
        <v>0.18</v>
      </c>
      <c r="G130" s="12">
        <v>18.18</v>
      </c>
      <c r="H130" s="12">
        <v>82.8</v>
      </c>
      <c r="I130" s="12">
        <v>3.6</v>
      </c>
      <c r="J130" s="12">
        <v>12.6</v>
      </c>
      <c r="K130" s="13">
        <v>7.2</v>
      </c>
      <c r="L130" s="7">
        <v>2.52</v>
      </c>
    </row>
    <row r="131" spans="2:13" ht="33" customHeight="1" thickBot="1" x14ac:dyDescent="0.45">
      <c r="B131" s="141"/>
      <c r="C131" s="140" t="s">
        <v>28</v>
      </c>
      <c r="D131" s="99">
        <f t="shared" ref="D131:L131" si="18">SUM(D125:D130)</f>
        <v>550</v>
      </c>
      <c r="E131" s="64">
        <f t="shared" si="18"/>
        <v>24.95</v>
      </c>
      <c r="F131" s="64">
        <f t="shared" si="18"/>
        <v>17.159999999999997</v>
      </c>
      <c r="G131" s="64">
        <f t="shared" si="18"/>
        <v>77.77</v>
      </c>
      <c r="H131" s="64">
        <f t="shared" si="18"/>
        <v>589.36</v>
      </c>
      <c r="I131" s="64">
        <f t="shared" si="18"/>
        <v>48.15</v>
      </c>
      <c r="J131" s="64">
        <f t="shared" si="18"/>
        <v>191.79</v>
      </c>
      <c r="K131" s="144">
        <f t="shared" si="18"/>
        <v>90.190000000000012</v>
      </c>
      <c r="L131" s="64">
        <f t="shared" si="18"/>
        <v>11.26</v>
      </c>
    </row>
    <row r="132" spans="2:13" ht="27.75" customHeight="1" thickBot="1" x14ac:dyDescent="0.45">
      <c r="B132" s="29" t="s">
        <v>1</v>
      </c>
      <c r="C132" s="30"/>
      <c r="D132" s="31"/>
      <c r="E132" s="30"/>
      <c r="F132" s="30"/>
      <c r="G132" s="30"/>
      <c r="H132" s="30"/>
      <c r="I132" s="30"/>
      <c r="J132" s="30"/>
      <c r="K132" s="30"/>
      <c r="L132" s="32"/>
    </row>
    <row r="133" spans="2:13" ht="25.5" customHeight="1" thickBot="1" x14ac:dyDescent="0.45">
      <c r="B133" s="58" t="s">
        <v>109</v>
      </c>
      <c r="C133" s="14" t="s">
        <v>110</v>
      </c>
      <c r="D133" s="36">
        <v>250</v>
      </c>
      <c r="E133" s="33">
        <v>5.47</v>
      </c>
      <c r="F133" s="33">
        <v>0.31</v>
      </c>
      <c r="G133" s="33">
        <v>17.95</v>
      </c>
      <c r="H133" s="33">
        <v>150</v>
      </c>
      <c r="I133" s="16">
        <v>0.82</v>
      </c>
      <c r="J133" s="46">
        <v>163</v>
      </c>
      <c r="K133" s="18">
        <v>26.67</v>
      </c>
      <c r="L133" s="7">
        <v>0.65</v>
      </c>
    </row>
    <row r="134" spans="2:13" ht="26.25" customHeight="1" thickBot="1" x14ac:dyDescent="0.45">
      <c r="B134" s="47" t="s">
        <v>111</v>
      </c>
      <c r="C134" s="14" t="s">
        <v>48</v>
      </c>
      <c r="D134" s="36">
        <v>200</v>
      </c>
      <c r="E134" s="6">
        <v>16.940000000000001</v>
      </c>
      <c r="F134" s="6">
        <v>10.46</v>
      </c>
      <c r="G134" s="6">
        <v>25.73</v>
      </c>
      <c r="H134" s="6">
        <v>305.33</v>
      </c>
      <c r="I134" s="16">
        <v>6.02</v>
      </c>
      <c r="J134" s="38">
        <v>46.34</v>
      </c>
      <c r="K134" s="109">
        <v>54.04</v>
      </c>
      <c r="L134" s="16">
        <v>1.97</v>
      </c>
    </row>
    <row r="135" spans="2:13" ht="26.25" customHeight="1" thickBot="1" x14ac:dyDescent="0.45">
      <c r="B135" s="35" t="s">
        <v>14</v>
      </c>
      <c r="C135" s="14" t="s">
        <v>42</v>
      </c>
      <c r="D135" s="36">
        <v>45</v>
      </c>
      <c r="E135" s="6">
        <v>3.4200000000000004</v>
      </c>
      <c r="F135" s="6">
        <v>0.36</v>
      </c>
      <c r="G135" s="6">
        <v>22.106249999999996</v>
      </c>
      <c r="H135" s="6">
        <v>105.75</v>
      </c>
      <c r="I135" s="16">
        <v>0</v>
      </c>
      <c r="J135" s="38">
        <v>10.349999999999998</v>
      </c>
      <c r="K135" s="18">
        <v>14.85</v>
      </c>
      <c r="L135" s="7">
        <v>0.85500000000000009</v>
      </c>
    </row>
    <row r="136" spans="2:13" ht="27" customHeight="1" thickBot="1" x14ac:dyDescent="0.45">
      <c r="B136" s="35" t="s">
        <v>16</v>
      </c>
      <c r="C136" s="14" t="s">
        <v>43</v>
      </c>
      <c r="D136" s="36">
        <v>25</v>
      </c>
      <c r="E136" s="6">
        <v>1.65</v>
      </c>
      <c r="F136" s="6">
        <v>3</v>
      </c>
      <c r="G136" s="6">
        <v>8.35</v>
      </c>
      <c r="H136" s="6">
        <v>43.5</v>
      </c>
      <c r="I136" s="16">
        <v>0</v>
      </c>
      <c r="J136" s="38">
        <v>8.25</v>
      </c>
      <c r="K136" s="18">
        <v>14.250000000000002</v>
      </c>
      <c r="L136" s="7">
        <v>1.125</v>
      </c>
    </row>
    <row r="137" spans="2:13" ht="27" customHeight="1" thickBot="1" x14ac:dyDescent="0.45">
      <c r="B137" s="35" t="s">
        <v>100</v>
      </c>
      <c r="C137" s="14" t="s">
        <v>101</v>
      </c>
      <c r="D137" s="36">
        <v>200</v>
      </c>
      <c r="E137" s="6">
        <f>0.11*200/180</f>
        <v>0.12222222222222222</v>
      </c>
      <c r="F137" s="6">
        <f>0.12*200/180</f>
        <v>0.13333333333333333</v>
      </c>
      <c r="G137" s="6">
        <f>25.09*200/180</f>
        <v>27.877777777777776</v>
      </c>
      <c r="H137" s="6">
        <f>119.2*200/180</f>
        <v>132.44444444444446</v>
      </c>
      <c r="I137" s="16">
        <f>1.83*200/180</f>
        <v>2.0333333333333332</v>
      </c>
      <c r="J137" s="38">
        <f>11.46*200/180</f>
        <v>12.733333333333333</v>
      </c>
      <c r="K137" s="18">
        <f>3.64*200/180</f>
        <v>4.0444444444444443</v>
      </c>
      <c r="L137" s="7">
        <f>0.54*200/180</f>
        <v>0.6</v>
      </c>
    </row>
    <row r="138" spans="2:13" ht="26.25" customHeight="1" thickBot="1" x14ac:dyDescent="0.45">
      <c r="B138" s="9" t="s">
        <v>65</v>
      </c>
      <c r="C138" s="14" t="s">
        <v>84</v>
      </c>
      <c r="D138" s="59">
        <v>30</v>
      </c>
      <c r="E138" s="18">
        <f>1*30/20</f>
        <v>1.5</v>
      </c>
      <c r="F138" s="18">
        <f>1.96*30/20</f>
        <v>2.94</v>
      </c>
      <c r="G138" s="18">
        <f>14.88*30/20</f>
        <v>22.32</v>
      </c>
      <c r="H138" s="18">
        <f>82.8*30/20</f>
        <v>124.2</v>
      </c>
      <c r="I138" s="16">
        <v>0</v>
      </c>
      <c r="J138" s="38">
        <f>5.8*30/20</f>
        <v>8.6999999999999993</v>
      </c>
      <c r="K138" s="18">
        <f>4*30/20</f>
        <v>6</v>
      </c>
      <c r="L138" s="7">
        <f>0.42*30/20</f>
        <v>0.63</v>
      </c>
    </row>
    <row r="139" spans="2:13" ht="29.25" customHeight="1" thickBot="1" x14ac:dyDescent="0.45">
      <c r="B139" s="35"/>
      <c r="C139" s="61" t="s">
        <v>2</v>
      </c>
      <c r="D139" s="62">
        <f t="shared" ref="D139:L139" si="19">SUM(D133:D138)</f>
        <v>750</v>
      </c>
      <c r="E139" s="63">
        <f t="shared" si="19"/>
        <v>29.102222222222224</v>
      </c>
      <c r="F139" s="63">
        <f t="shared" si="19"/>
        <v>17.203333333333333</v>
      </c>
      <c r="G139" s="63">
        <f t="shared" si="19"/>
        <v>124.33402777777778</v>
      </c>
      <c r="H139" s="63">
        <f t="shared" si="19"/>
        <v>861.22444444444443</v>
      </c>
      <c r="I139" s="63">
        <f t="shared" si="19"/>
        <v>8.8733333333333331</v>
      </c>
      <c r="J139" s="63">
        <f t="shared" si="19"/>
        <v>249.37333333333331</v>
      </c>
      <c r="K139" s="63">
        <f t="shared" si="19"/>
        <v>119.85444444444445</v>
      </c>
      <c r="L139" s="66">
        <f t="shared" si="19"/>
        <v>5.8299999999999992</v>
      </c>
      <c r="M139" s="43"/>
    </row>
    <row r="140" spans="2:13" ht="30" customHeight="1" thickBot="1" x14ac:dyDescent="0.45">
      <c r="B140" s="9"/>
      <c r="C140" s="67" t="s">
        <v>3</v>
      </c>
      <c r="D140" s="68">
        <f t="shared" ref="D140:L140" si="20">D139+D131</f>
        <v>1300</v>
      </c>
      <c r="E140" s="69">
        <f t="shared" si="20"/>
        <v>54.052222222222227</v>
      </c>
      <c r="F140" s="69">
        <f t="shared" si="20"/>
        <v>34.36333333333333</v>
      </c>
      <c r="G140" s="69">
        <f t="shared" si="20"/>
        <v>202.10402777777779</v>
      </c>
      <c r="H140" s="69">
        <f t="shared" si="20"/>
        <v>1450.5844444444444</v>
      </c>
      <c r="I140" s="69">
        <f t="shared" si="20"/>
        <v>57.023333333333333</v>
      </c>
      <c r="J140" s="69">
        <f t="shared" si="20"/>
        <v>441.1633333333333</v>
      </c>
      <c r="K140" s="69">
        <f t="shared" si="20"/>
        <v>210.04444444444448</v>
      </c>
      <c r="L140" s="64">
        <f t="shared" si="20"/>
        <v>17.09</v>
      </c>
      <c r="M140" s="43"/>
    </row>
    <row r="141" spans="2:13" ht="32.25" customHeight="1" thickBot="1" x14ac:dyDescent="0.45">
      <c r="B141" s="2" t="s">
        <v>23</v>
      </c>
      <c r="C141" s="41"/>
      <c r="D141" s="41"/>
      <c r="E141" s="41"/>
      <c r="F141" s="41"/>
      <c r="G141" s="41"/>
      <c r="H141" s="41"/>
      <c r="I141" s="41"/>
      <c r="J141" s="41"/>
      <c r="K141" s="41"/>
      <c r="L141" s="42"/>
    </row>
    <row r="142" spans="2:13" ht="23.25" customHeight="1" thickBot="1" x14ac:dyDescent="0.45">
      <c r="B142" s="172" t="s">
        <v>4</v>
      </c>
      <c r="C142" s="166" t="s">
        <v>0</v>
      </c>
      <c r="D142" s="166" t="s">
        <v>31</v>
      </c>
      <c r="E142" s="163" t="s">
        <v>12</v>
      </c>
      <c r="F142" s="164"/>
      <c r="G142" s="164"/>
      <c r="H142" s="165"/>
      <c r="I142" s="168" t="s">
        <v>36</v>
      </c>
      <c r="J142" s="170" t="s">
        <v>37</v>
      </c>
      <c r="K142" s="170" t="s">
        <v>38</v>
      </c>
      <c r="L142" s="170" t="s">
        <v>40</v>
      </c>
    </row>
    <row r="143" spans="2:13" ht="54.75" customHeight="1" thickBot="1" x14ac:dyDescent="0.45">
      <c r="B143" s="173"/>
      <c r="C143" s="167"/>
      <c r="D143" s="167"/>
      <c r="E143" s="23" t="s">
        <v>32</v>
      </c>
      <c r="F143" s="23" t="s">
        <v>33</v>
      </c>
      <c r="G143" s="23" t="s">
        <v>34</v>
      </c>
      <c r="H143" s="23" t="s">
        <v>35</v>
      </c>
      <c r="I143" s="169"/>
      <c r="J143" s="171"/>
      <c r="K143" s="171"/>
      <c r="L143" s="171"/>
    </row>
    <row r="144" spans="2:13" ht="26.25" customHeight="1" thickBot="1" x14ac:dyDescent="0.45">
      <c r="B144" s="29" t="s">
        <v>27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2"/>
    </row>
    <row r="145" spans="2:12" ht="27" customHeight="1" thickBot="1" x14ac:dyDescent="0.45">
      <c r="B145" s="9" t="s">
        <v>103</v>
      </c>
      <c r="C145" s="4" t="s">
        <v>102</v>
      </c>
      <c r="D145" s="5">
        <v>200</v>
      </c>
      <c r="E145" s="6">
        <v>5.0199999999999996</v>
      </c>
      <c r="F145" s="6">
        <v>13.6</v>
      </c>
      <c r="G145" s="6">
        <v>55.76</v>
      </c>
      <c r="H145" s="6">
        <v>368</v>
      </c>
      <c r="I145" s="6">
        <v>1.08</v>
      </c>
      <c r="J145" s="6">
        <v>55.36</v>
      </c>
      <c r="K145" s="39">
        <v>53.22</v>
      </c>
      <c r="L145" s="16">
        <v>1.66</v>
      </c>
    </row>
    <row r="146" spans="2:12" ht="26.25" customHeight="1" thickBot="1" x14ac:dyDescent="0.45">
      <c r="B146" s="9" t="s">
        <v>68</v>
      </c>
      <c r="C146" s="10" t="s">
        <v>85</v>
      </c>
      <c r="D146" s="11">
        <v>10</v>
      </c>
      <c r="E146" s="12">
        <v>2.0499999999999998</v>
      </c>
      <c r="F146" s="12">
        <v>2.2999999999999998</v>
      </c>
      <c r="G146" s="12">
        <v>0.23</v>
      </c>
      <c r="H146" s="12">
        <v>29.67</v>
      </c>
      <c r="I146" s="12">
        <v>0.06</v>
      </c>
      <c r="J146" s="12">
        <v>70</v>
      </c>
      <c r="K146" s="13">
        <v>3.3</v>
      </c>
      <c r="L146" s="7">
        <v>0.08</v>
      </c>
    </row>
    <row r="147" spans="2:12" ht="25.5" customHeight="1" thickBot="1" x14ac:dyDescent="0.45">
      <c r="B147" s="9" t="s">
        <v>14</v>
      </c>
      <c r="C147" s="14" t="s">
        <v>42</v>
      </c>
      <c r="D147" s="36">
        <v>30</v>
      </c>
      <c r="E147" s="6">
        <v>2.2799999999999998</v>
      </c>
      <c r="F147" s="6">
        <v>0.24</v>
      </c>
      <c r="G147" s="6">
        <v>14.76</v>
      </c>
      <c r="H147" s="6">
        <v>70.5</v>
      </c>
      <c r="I147" s="6">
        <v>0</v>
      </c>
      <c r="J147" s="6">
        <v>6.9</v>
      </c>
      <c r="K147" s="13">
        <v>9.9</v>
      </c>
      <c r="L147" s="7">
        <v>0.56999999999999995</v>
      </c>
    </row>
    <row r="148" spans="2:12" ht="26.25" customHeight="1" thickBot="1" x14ac:dyDescent="0.45">
      <c r="B148" s="9" t="s">
        <v>104</v>
      </c>
      <c r="C148" s="28" t="s">
        <v>105</v>
      </c>
      <c r="D148" s="15">
        <v>180</v>
      </c>
      <c r="E148" s="16">
        <v>5.8</v>
      </c>
      <c r="F148" s="16">
        <v>5</v>
      </c>
      <c r="G148" s="16">
        <v>8</v>
      </c>
      <c r="H148" s="16">
        <v>106</v>
      </c>
      <c r="I148" s="16">
        <v>1.4</v>
      </c>
      <c r="J148" s="16">
        <v>240</v>
      </c>
      <c r="K148" s="18">
        <v>28</v>
      </c>
      <c r="L148" s="7">
        <v>0.2</v>
      </c>
    </row>
    <row r="149" spans="2:12" ht="24.75" customHeight="1" thickBot="1" x14ac:dyDescent="0.45">
      <c r="B149" s="9" t="s">
        <v>17</v>
      </c>
      <c r="C149" s="28" t="s">
        <v>66</v>
      </c>
      <c r="D149" s="36">
        <v>100</v>
      </c>
      <c r="E149" s="6">
        <v>0.4</v>
      </c>
      <c r="F149" s="6">
        <v>0.4</v>
      </c>
      <c r="G149" s="6">
        <v>9.8000000000000007</v>
      </c>
      <c r="H149" s="6">
        <v>47</v>
      </c>
      <c r="I149" s="6">
        <v>10</v>
      </c>
      <c r="J149" s="6">
        <v>16</v>
      </c>
      <c r="K149" s="18">
        <v>9</v>
      </c>
      <c r="L149" s="7">
        <v>2.2000000000000002</v>
      </c>
    </row>
    <row r="150" spans="2:12" ht="31.5" customHeight="1" thickBot="1" x14ac:dyDescent="0.45">
      <c r="B150" s="145"/>
      <c r="C150" s="146" t="s">
        <v>28</v>
      </c>
      <c r="D150" s="147">
        <f t="shared" ref="D150:L150" si="21">SUM(D145:D149)</f>
        <v>520</v>
      </c>
      <c r="E150" s="148">
        <f t="shared" si="21"/>
        <v>15.549999999999999</v>
      </c>
      <c r="F150" s="149">
        <f t="shared" si="21"/>
        <v>21.539999999999996</v>
      </c>
      <c r="G150" s="148">
        <f t="shared" si="21"/>
        <v>88.55</v>
      </c>
      <c r="H150" s="148">
        <f t="shared" si="21"/>
        <v>621.17000000000007</v>
      </c>
      <c r="I150" s="149">
        <f t="shared" si="21"/>
        <v>12.54</v>
      </c>
      <c r="J150" s="148">
        <f t="shared" si="21"/>
        <v>388.26</v>
      </c>
      <c r="K150" s="149">
        <f t="shared" si="21"/>
        <v>103.42</v>
      </c>
      <c r="L150" s="148">
        <f t="shared" si="21"/>
        <v>4.7100000000000009</v>
      </c>
    </row>
    <row r="151" spans="2:12" ht="25.5" customHeight="1" thickBot="1" x14ac:dyDescent="0.45">
      <c r="B151" s="29" t="s">
        <v>1</v>
      </c>
      <c r="C151" s="30"/>
      <c r="D151" s="31"/>
      <c r="E151" s="30"/>
      <c r="F151" s="30"/>
      <c r="G151" s="30"/>
      <c r="H151" s="30"/>
      <c r="I151" s="30"/>
      <c r="J151" s="30"/>
      <c r="K151" s="30"/>
      <c r="L151" s="32"/>
    </row>
    <row r="152" spans="2:12" ht="27.75" customHeight="1" thickBot="1" x14ac:dyDescent="0.45">
      <c r="B152" s="58" t="s">
        <v>64</v>
      </c>
      <c r="C152" s="70" t="s">
        <v>39</v>
      </c>
      <c r="D152" s="71">
        <v>60</v>
      </c>
      <c r="E152" s="16">
        <v>0.96</v>
      </c>
      <c r="F152" s="16">
        <v>3.78</v>
      </c>
      <c r="G152" s="16">
        <v>4.4400000000000004</v>
      </c>
      <c r="H152" s="16">
        <v>54.48</v>
      </c>
      <c r="I152" s="16">
        <v>10.199999999999999</v>
      </c>
      <c r="J152" s="46">
        <v>12.6</v>
      </c>
      <c r="K152" s="13">
        <v>3.12</v>
      </c>
      <c r="L152" s="7">
        <v>0.06</v>
      </c>
    </row>
    <row r="153" spans="2:12" ht="27.75" customHeight="1" thickBot="1" x14ac:dyDescent="0.45">
      <c r="B153" s="35" t="s">
        <v>18</v>
      </c>
      <c r="C153" s="14" t="s">
        <v>60</v>
      </c>
      <c r="D153" s="36">
        <v>200</v>
      </c>
      <c r="E153" s="6">
        <v>1.98</v>
      </c>
      <c r="F153" s="6">
        <v>3.51</v>
      </c>
      <c r="G153" s="6">
        <v>13.74</v>
      </c>
      <c r="H153" s="7">
        <v>95.14</v>
      </c>
      <c r="I153" s="18">
        <v>13.42</v>
      </c>
      <c r="J153" s="26">
        <v>20.309999999999999</v>
      </c>
      <c r="K153" s="18">
        <v>21.25</v>
      </c>
      <c r="L153" s="27">
        <v>0.8</v>
      </c>
    </row>
    <row r="154" spans="2:12" ht="27.75" customHeight="1" thickBot="1" x14ac:dyDescent="0.45">
      <c r="B154" s="35" t="s">
        <v>57</v>
      </c>
      <c r="C154" s="14" t="s">
        <v>80</v>
      </c>
      <c r="D154" s="36">
        <v>100</v>
      </c>
      <c r="E154" s="6">
        <v>8.51</v>
      </c>
      <c r="F154" s="6">
        <v>9.31</v>
      </c>
      <c r="G154" s="6">
        <v>9.0050000000000008</v>
      </c>
      <c r="H154" s="6">
        <v>210.36</v>
      </c>
      <c r="I154" s="16">
        <v>29.58</v>
      </c>
      <c r="J154" s="38">
        <v>18.45</v>
      </c>
      <c r="K154" s="18">
        <v>23.734999999999999</v>
      </c>
      <c r="L154" s="7">
        <v>1.24</v>
      </c>
    </row>
    <row r="155" spans="2:12" ht="27.75" customHeight="1" thickBot="1" x14ac:dyDescent="0.45">
      <c r="B155" s="9" t="s">
        <v>96</v>
      </c>
      <c r="C155" s="28" t="s">
        <v>74</v>
      </c>
      <c r="D155" s="15">
        <v>150</v>
      </c>
      <c r="E155" s="16">
        <v>3.25</v>
      </c>
      <c r="F155" s="16">
        <v>2.88</v>
      </c>
      <c r="G155" s="16">
        <v>28.99</v>
      </c>
      <c r="H155" s="6">
        <v>189.56</v>
      </c>
      <c r="I155" s="7">
        <v>25.95</v>
      </c>
      <c r="J155" s="17">
        <v>145.59</v>
      </c>
      <c r="K155" s="18">
        <v>32.99</v>
      </c>
      <c r="L155" s="7">
        <v>1.22</v>
      </c>
    </row>
    <row r="156" spans="2:12" ht="27.75" customHeight="1" thickBot="1" x14ac:dyDescent="0.45">
      <c r="B156" s="9" t="s">
        <v>14</v>
      </c>
      <c r="C156" s="28" t="s">
        <v>42</v>
      </c>
      <c r="D156" s="15">
        <v>45</v>
      </c>
      <c r="E156" s="16">
        <v>3.4200000000000004</v>
      </c>
      <c r="F156" s="16">
        <v>0.36</v>
      </c>
      <c r="G156" s="16">
        <v>22.106249999999996</v>
      </c>
      <c r="H156" s="6">
        <v>105.75</v>
      </c>
      <c r="I156" s="7">
        <v>0</v>
      </c>
      <c r="J156" s="17">
        <v>10.349999999999998</v>
      </c>
      <c r="K156" s="18">
        <v>14.85</v>
      </c>
      <c r="L156" s="7">
        <v>0.85500000000000009</v>
      </c>
    </row>
    <row r="157" spans="2:12" ht="27.75" customHeight="1" thickBot="1" x14ac:dyDescent="0.45">
      <c r="B157" s="35" t="s">
        <v>16</v>
      </c>
      <c r="C157" s="14" t="s">
        <v>43</v>
      </c>
      <c r="D157" s="36">
        <v>25</v>
      </c>
      <c r="E157" s="6">
        <v>1.65</v>
      </c>
      <c r="F157" s="6">
        <v>3</v>
      </c>
      <c r="G157" s="6">
        <v>8.35</v>
      </c>
      <c r="H157" s="6">
        <v>43.5</v>
      </c>
      <c r="I157" s="7">
        <v>0</v>
      </c>
      <c r="J157" s="38">
        <v>8.25</v>
      </c>
      <c r="K157" s="39">
        <v>14.250000000000002</v>
      </c>
      <c r="L157" s="7">
        <v>1.125</v>
      </c>
    </row>
    <row r="158" spans="2:12" ht="27.75" customHeight="1" thickBot="1" x14ac:dyDescent="0.45">
      <c r="B158" s="35" t="s">
        <v>26</v>
      </c>
      <c r="C158" s="14" t="s">
        <v>76</v>
      </c>
      <c r="D158" s="36">
        <v>180</v>
      </c>
      <c r="E158" s="6">
        <v>1.04</v>
      </c>
      <c r="F158" s="6">
        <v>0.27</v>
      </c>
      <c r="G158" s="6">
        <v>42.53</v>
      </c>
      <c r="H158" s="6">
        <v>176.74</v>
      </c>
      <c r="I158" s="6">
        <v>0.72</v>
      </c>
      <c r="J158" s="38">
        <v>5.26</v>
      </c>
      <c r="K158" s="109">
        <v>30.03</v>
      </c>
      <c r="L158" s="7">
        <v>0.86</v>
      </c>
    </row>
    <row r="159" spans="2:12" ht="27.75" customHeight="1" thickBot="1" x14ac:dyDescent="0.45">
      <c r="B159" s="35" t="s">
        <v>17</v>
      </c>
      <c r="C159" s="14" t="s">
        <v>66</v>
      </c>
      <c r="D159" s="36">
        <v>100</v>
      </c>
      <c r="E159" s="6">
        <v>0.4</v>
      </c>
      <c r="F159" s="6">
        <v>0.4</v>
      </c>
      <c r="G159" s="6">
        <v>9.8000000000000007</v>
      </c>
      <c r="H159" s="6">
        <v>47</v>
      </c>
      <c r="I159" s="6">
        <v>10</v>
      </c>
      <c r="J159" s="38">
        <v>16</v>
      </c>
      <c r="K159" s="109">
        <v>9</v>
      </c>
      <c r="L159" s="7">
        <v>2.2000000000000002</v>
      </c>
    </row>
    <row r="160" spans="2:12" ht="32.25" customHeight="1" thickBot="1" x14ac:dyDescent="0.45">
      <c r="B160" s="72"/>
      <c r="C160" s="61" t="s">
        <v>2</v>
      </c>
      <c r="D160" s="62">
        <f t="shared" ref="D160:L160" si="22">SUM(D152:D159)</f>
        <v>860</v>
      </c>
      <c r="E160" s="63">
        <f t="shared" si="22"/>
        <v>21.209999999999997</v>
      </c>
      <c r="F160" s="63">
        <f t="shared" si="22"/>
        <v>23.509999999999998</v>
      </c>
      <c r="G160" s="63">
        <f t="shared" si="22"/>
        <v>138.96125000000001</v>
      </c>
      <c r="H160" s="63">
        <f t="shared" si="22"/>
        <v>922.53</v>
      </c>
      <c r="I160" s="63">
        <f t="shared" si="22"/>
        <v>89.86999999999999</v>
      </c>
      <c r="J160" s="63">
        <f t="shared" si="22"/>
        <v>236.80999999999997</v>
      </c>
      <c r="K160" s="63">
        <f t="shared" si="22"/>
        <v>149.22499999999999</v>
      </c>
      <c r="L160" s="63">
        <f t="shared" si="22"/>
        <v>8.3600000000000012</v>
      </c>
    </row>
    <row r="161" spans="2:12" ht="33.75" customHeight="1" thickBot="1" x14ac:dyDescent="0.45">
      <c r="B161" s="40"/>
      <c r="C161" s="67" t="s">
        <v>3</v>
      </c>
      <c r="D161" s="68">
        <f t="shared" ref="D161:L161" si="23">D160+D150</f>
        <v>1380</v>
      </c>
      <c r="E161" s="69">
        <f t="shared" si="23"/>
        <v>36.76</v>
      </c>
      <c r="F161" s="69">
        <f t="shared" si="23"/>
        <v>45.05</v>
      </c>
      <c r="G161" s="69">
        <f t="shared" si="23"/>
        <v>227.51125000000002</v>
      </c>
      <c r="H161" s="69">
        <f t="shared" si="23"/>
        <v>1543.7</v>
      </c>
      <c r="I161" s="69">
        <f t="shared" si="23"/>
        <v>102.41</v>
      </c>
      <c r="J161" s="69">
        <f t="shared" si="23"/>
        <v>625.06999999999994</v>
      </c>
      <c r="K161" s="69">
        <f t="shared" si="23"/>
        <v>252.64499999999998</v>
      </c>
      <c r="L161" s="64">
        <f t="shared" si="23"/>
        <v>13.070000000000002</v>
      </c>
    </row>
    <row r="162" spans="2:12" ht="34.5" customHeight="1" thickBot="1" x14ac:dyDescent="0.45">
      <c r="B162" s="2" t="s">
        <v>24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2"/>
    </row>
    <row r="163" spans="2:12" ht="21" customHeight="1" thickBot="1" x14ac:dyDescent="0.45">
      <c r="B163" s="172" t="s">
        <v>4</v>
      </c>
      <c r="C163" s="166" t="s">
        <v>0</v>
      </c>
      <c r="D163" s="166" t="s">
        <v>31</v>
      </c>
      <c r="E163" s="163" t="s">
        <v>12</v>
      </c>
      <c r="F163" s="164"/>
      <c r="G163" s="164"/>
      <c r="H163" s="165"/>
      <c r="I163" s="168" t="s">
        <v>36</v>
      </c>
      <c r="J163" s="170" t="s">
        <v>37</v>
      </c>
      <c r="K163" s="170" t="s">
        <v>38</v>
      </c>
      <c r="L163" s="170" t="s">
        <v>40</v>
      </c>
    </row>
    <row r="164" spans="2:12" ht="46.5" customHeight="1" thickBot="1" x14ac:dyDescent="0.45">
      <c r="B164" s="173"/>
      <c r="C164" s="167"/>
      <c r="D164" s="167"/>
      <c r="E164" s="23" t="s">
        <v>32</v>
      </c>
      <c r="F164" s="23" t="s">
        <v>33</v>
      </c>
      <c r="G164" s="23" t="s">
        <v>34</v>
      </c>
      <c r="H164" s="23" t="s">
        <v>35</v>
      </c>
      <c r="I164" s="169"/>
      <c r="J164" s="171"/>
      <c r="K164" s="171"/>
      <c r="L164" s="171"/>
    </row>
    <row r="165" spans="2:12" ht="25.5" customHeight="1" thickBot="1" x14ac:dyDescent="0.45">
      <c r="B165" s="29" t="s">
        <v>27</v>
      </c>
      <c r="C165" s="30"/>
      <c r="D165" s="30"/>
      <c r="E165" s="30"/>
      <c r="F165" s="30"/>
      <c r="G165" s="30"/>
      <c r="H165" s="30"/>
      <c r="I165" s="30"/>
      <c r="J165" s="30"/>
      <c r="K165" s="30"/>
      <c r="L165" s="32"/>
    </row>
    <row r="166" spans="2:12" ht="28.5" customHeight="1" thickBot="1" x14ac:dyDescent="0.45">
      <c r="B166" s="35" t="s">
        <v>46</v>
      </c>
      <c r="C166" s="14" t="s">
        <v>63</v>
      </c>
      <c r="D166" s="36">
        <v>250</v>
      </c>
      <c r="E166" s="6">
        <v>11.5</v>
      </c>
      <c r="F166" s="6">
        <v>12.574999999999999</v>
      </c>
      <c r="G166" s="6">
        <v>39.287500000000001</v>
      </c>
      <c r="H166" s="6">
        <v>324.95</v>
      </c>
      <c r="I166" s="12">
        <v>4.2</v>
      </c>
      <c r="J166" s="12">
        <v>173.78749999999999</v>
      </c>
      <c r="K166" s="12">
        <v>67.325000000000003</v>
      </c>
      <c r="L166" s="7">
        <v>1.5625</v>
      </c>
    </row>
    <row r="167" spans="2:12" ht="27" customHeight="1" thickBot="1" x14ac:dyDescent="0.45">
      <c r="B167" s="9" t="s">
        <v>19</v>
      </c>
      <c r="C167" s="10" t="s">
        <v>52</v>
      </c>
      <c r="D167" s="11">
        <v>10</v>
      </c>
      <c r="E167" s="12">
        <v>0.05</v>
      </c>
      <c r="F167" s="12">
        <v>8.25</v>
      </c>
      <c r="G167" s="12">
        <v>0.08</v>
      </c>
      <c r="H167" s="12">
        <v>74.8</v>
      </c>
      <c r="I167" s="12">
        <v>0</v>
      </c>
      <c r="J167" s="12">
        <v>2.4</v>
      </c>
      <c r="K167" s="13">
        <v>0.05</v>
      </c>
      <c r="L167" s="7">
        <v>0.02</v>
      </c>
    </row>
    <row r="168" spans="2:12" ht="29.25" customHeight="1" thickBot="1" x14ac:dyDescent="0.45">
      <c r="B168" s="9" t="s">
        <v>65</v>
      </c>
      <c r="C168" s="14" t="s">
        <v>97</v>
      </c>
      <c r="D168" s="11">
        <v>20</v>
      </c>
      <c r="E168" s="6">
        <f>2.31*20/30</f>
        <v>1.54</v>
      </c>
      <c r="F168" s="6">
        <f>0.6</f>
        <v>0.6</v>
      </c>
      <c r="G168" s="6">
        <v>10.02</v>
      </c>
      <c r="H168" s="6">
        <f>103.6/2</f>
        <v>51.8</v>
      </c>
      <c r="I168" s="6">
        <v>0</v>
      </c>
      <c r="J168" s="6">
        <v>4.4000000000000004</v>
      </c>
      <c r="K168" s="18">
        <f>13.2/2</f>
        <v>6.6</v>
      </c>
      <c r="L168" s="7">
        <v>0.4</v>
      </c>
    </row>
    <row r="169" spans="2:12" ht="29.25" customHeight="1" thickBot="1" x14ac:dyDescent="0.45">
      <c r="B169" s="9" t="s">
        <v>51</v>
      </c>
      <c r="C169" s="28" t="s">
        <v>47</v>
      </c>
      <c r="D169" s="15">
        <v>200</v>
      </c>
      <c r="E169" s="16">
        <v>3.58</v>
      </c>
      <c r="F169" s="16">
        <v>2.58</v>
      </c>
      <c r="G169" s="16">
        <v>14.71</v>
      </c>
      <c r="H169" s="6">
        <v>100.06</v>
      </c>
      <c r="I169" s="7">
        <v>1.17</v>
      </c>
      <c r="J169" s="17">
        <v>123.42</v>
      </c>
      <c r="K169" s="18">
        <v>29.6</v>
      </c>
      <c r="L169" s="27">
        <v>1</v>
      </c>
    </row>
    <row r="170" spans="2:12" ht="27" customHeight="1" thickBot="1" x14ac:dyDescent="0.45">
      <c r="B170" s="9" t="s">
        <v>65</v>
      </c>
      <c r="C170" s="28" t="s">
        <v>84</v>
      </c>
      <c r="D170" s="36">
        <v>20</v>
      </c>
      <c r="E170" s="6">
        <v>1.5</v>
      </c>
      <c r="F170" s="6">
        <v>1.96</v>
      </c>
      <c r="G170" s="6">
        <v>14.88</v>
      </c>
      <c r="H170" s="6">
        <v>82.8</v>
      </c>
      <c r="I170" s="6">
        <v>0</v>
      </c>
      <c r="J170" s="6">
        <v>5.8</v>
      </c>
      <c r="K170" s="13">
        <v>4</v>
      </c>
      <c r="L170" s="7">
        <v>0.42</v>
      </c>
    </row>
    <row r="171" spans="2:12" ht="28.5" customHeight="1" thickBot="1" x14ac:dyDescent="0.45">
      <c r="B171" s="145"/>
      <c r="C171" s="98" t="s">
        <v>28</v>
      </c>
      <c r="D171" s="99">
        <f t="shared" ref="D171:L171" si="24">SUM(D166:D170)</f>
        <v>500</v>
      </c>
      <c r="E171" s="64">
        <f t="shared" si="24"/>
        <v>18.170000000000002</v>
      </c>
      <c r="F171" s="64">
        <f t="shared" si="24"/>
        <v>25.965000000000003</v>
      </c>
      <c r="G171" s="64">
        <f t="shared" si="24"/>
        <v>78.977499999999992</v>
      </c>
      <c r="H171" s="64">
        <f t="shared" si="24"/>
        <v>634.41</v>
      </c>
      <c r="I171" s="64">
        <f t="shared" si="24"/>
        <v>5.37</v>
      </c>
      <c r="J171" s="64">
        <f t="shared" si="24"/>
        <v>309.8075</v>
      </c>
      <c r="K171" s="64">
        <f t="shared" si="24"/>
        <v>107.57499999999999</v>
      </c>
      <c r="L171" s="64">
        <f t="shared" si="24"/>
        <v>3.4024999999999999</v>
      </c>
    </row>
    <row r="172" spans="2:12" ht="27.75" customHeight="1" thickBot="1" x14ac:dyDescent="0.45">
      <c r="B172" s="29" t="s">
        <v>1</v>
      </c>
      <c r="C172" s="30"/>
      <c r="D172" s="31"/>
      <c r="E172" s="30"/>
      <c r="F172" s="30"/>
      <c r="G172" s="30"/>
      <c r="H172" s="30"/>
      <c r="I172" s="30"/>
      <c r="J172" s="30"/>
      <c r="K172" s="30"/>
      <c r="L172" s="32"/>
    </row>
    <row r="173" spans="2:12" ht="27" customHeight="1" thickBot="1" x14ac:dyDescent="0.45">
      <c r="B173" s="35" t="s">
        <v>117</v>
      </c>
      <c r="C173" s="14" t="s">
        <v>118</v>
      </c>
      <c r="D173" s="36">
        <v>60</v>
      </c>
      <c r="E173" s="6">
        <v>0.8</v>
      </c>
      <c r="F173" s="6">
        <v>0.1</v>
      </c>
      <c r="G173" s="6">
        <v>4.0999999999999996</v>
      </c>
      <c r="H173" s="6">
        <v>20.3</v>
      </c>
      <c r="I173" s="16">
        <v>3</v>
      </c>
      <c r="J173" s="38">
        <v>16</v>
      </c>
      <c r="K173" s="6">
        <v>23</v>
      </c>
      <c r="L173" s="16">
        <v>0.42</v>
      </c>
    </row>
    <row r="174" spans="2:12" ht="25.5" customHeight="1" thickBot="1" x14ac:dyDescent="0.45">
      <c r="B174" s="58" t="s">
        <v>15</v>
      </c>
      <c r="C174" s="14" t="s">
        <v>49</v>
      </c>
      <c r="D174" s="36">
        <v>200</v>
      </c>
      <c r="E174" s="6">
        <v>4.0999999999999996</v>
      </c>
      <c r="F174" s="6">
        <v>8.9</v>
      </c>
      <c r="G174" s="6">
        <v>22.84</v>
      </c>
      <c r="H174" s="6">
        <v>158</v>
      </c>
      <c r="I174" s="16">
        <v>3.75</v>
      </c>
      <c r="J174" s="38">
        <v>24.37</v>
      </c>
      <c r="K174" s="13">
        <v>22.94</v>
      </c>
      <c r="L174" s="7">
        <v>1.72</v>
      </c>
    </row>
    <row r="175" spans="2:12" ht="26.25" customHeight="1" thickBot="1" x14ac:dyDescent="0.45">
      <c r="B175" s="37" t="s">
        <v>119</v>
      </c>
      <c r="C175" s="28" t="s">
        <v>120</v>
      </c>
      <c r="D175" s="15">
        <v>200</v>
      </c>
      <c r="E175" s="16">
        <v>22.27</v>
      </c>
      <c r="F175" s="16">
        <v>15.17</v>
      </c>
      <c r="G175" s="16">
        <v>70.22</v>
      </c>
      <c r="H175" s="7">
        <v>358.23</v>
      </c>
      <c r="I175" s="7">
        <v>2.62</v>
      </c>
      <c r="J175" s="17">
        <v>204.7</v>
      </c>
      <c r="K175" s="18">
        <v>39.4</v>
      </c>
      <c r="L175" s="7">
        <v>1.35</v>
      </c>
    </row>
    <row r="176" spans="2:12" ht="26.25" customHeight="1" thickBot="1" x14ac:dyDescent="0.45">
      <c r="B176" s="9" t="s">
        <v>14</v>
      </c>
      <c r="C176" s="28" t="s">
        <v>42</v>
      </c>
      <c r="D176" s="15">
        <v>45</v>
      </c>
      <c r="E176" s="16">
        <v>3.4200000000000004</v>
      </c>
      <c r="F176" s="16">
        <v>0.36</v>
      </c>
      <c r="G176" s="16">
        <v>22.106249999999996</v>
      </c>
      <c r="H176" s="6">
        <v>105.75</v>
      </c>
      <c r="I176" s="7">
        <v>0</v>
      </c>
      <c r="J176" s="17">
        <v>10.349999999999998</v>
      </c>
      <c r="K176" s="18">
        <v>14.85</v>
      </c>
      <c r="L176" s="7">
        <v>0.85500000000000009</v>
      </c>
    </row>
    <row r="177" spans="2:13" ht="26.25" customHeight="1" thickBot="1" x14ac:dyDescent="0.45">
      <c r="B177" s="9" t="s">
        <v>16</v>
      </c>
      <c r="C177" s="28" t="s">
        <v>43</v>
      </c>
      <c r="D177" s="15">
        <v>25</v>
      </c>
      <c r="E177" s="16">
        <v>1.65</v>
      </c>
      <c r="F177" s="16">
        <v>3</v>
      </c>
      <c r="G177" s="16">
        <v>8.35</v>
      </c>
      <c r="H177" s="6">
        <v>43.5</v>
      </c>
      <c r="I177" s="7">
        <v>0</v>
      </c>
      <c r="J177" s="17">
        <v>8.25</v>
      </c>
      <c r="K177" s="18">
        <v>14.250000000000002</v>
      </c>
      <c r="L177" s="7">
        <v>1.125</v>
      </c>
    </row>
    <row r="178" spans="2:13" ht="26.25" customHeight="1" thickBot="1" x14ac:dyDescent="0.45">
      <c r="B178" s="35" t="s">
        <v>55</v>
      </c>
      <c r="C178" s="14" t="s">
        <v>56</v>
      </c>
      <c r="D178" s="36">
        <v>180</v>
      </c>
      <c r="E178" s="6">
        <v>0.9</v>
      </c>
      <c r="F178" s="6">
        <v>0.18</v>
      </c>
      <c r="G178" s="6">
        <v>18.18</v>
      </c>
      <c r="H178" s="6">
        <v>82.8</v>
      </c>
      <c r="I178" s="7">
        <v>3.6</v>
      </c>
      <c r="J178" s="38">
        <v>12.6</v>
      </c>
      <c r="K178" s="39">
        <v>7.2</v>
      </c>
      <c r="L178" s="7">
        <v>2.52</v>
      </c>
    </row>
    <row r="179" spans="2:13" ht="30" customHeight="1" thickBot="1" x14ac:dyDescent="0.45">
      <c r="B179" s="73"/>
      <c r="C179" s="98" t="s">
        <v>2</v>
      </c>
      <c r="D179" s="99">
        <f t="shared" ref="D179:L179" si="25">SUM(D173:D178)</f>
        <v>710</v>
      </c>
      <c r="E179" s="96">
        <f t="shared" si="25"/>
        <v>33.14</v>
      </c>
      <c r="F179" s="64">
        <f t="shared" si="25"/>
        <v>27.71</v>
      </c>
      <c r="G179" s="96">
        <f t="shared" si="25"/>
        <v>145.79624999999999</v>
      </c>
      <c r="H179" s="64">
        <f t="shared" si="25"/>
        <v>768.57999999999993</v>
      </c>
      <c r="I179" s="96">
        <f t="shared" si="25"/>
        <v>12.97</v>
      </c>
      <c r="J179" s="64">
        <f t="shared" si="25"/>
        <v>276.27</v>
      </c>
      <c r="K179" s="64">
        <f t="shared" si="25"/>
        <v>121.64</v>
      </c>
      <c r="L179" s="97">
        <f t="shared" si="25"/>
        <v>7.99</v>
      </c>
    </row>
    <row r="180" spans="2:13" ht="30.75" customHeight="1" thickBot="1" x14ac:dyDescent="0.45">
      <c r="B180" s="9"/>
      <c r="C180" s="67" t="s">
        <v>3</v>
      </c>
      <c r="D180" s="68">
        <f t="shared" ref="D180:L180" si="26">D179+D171</f>
        <v>1210</v>
      </c>
      <c r="E180" s="69">
        <f t="shared" si="26"/>
        <v>51.31</v>
      </c>
      <c r="F180" s="69">
        <f t="shared" si="26"/>
        <v>53.675000000000004</v>
      </c>
      <c r="G180" s="69">
        <f t="shared" si="26"/>
        <v>224.77374999999998</v>
      </c>
      <c r="H180" s="69">
        <f t="shared" si="26"/>
        <v>1402.9899999999998</v>
      </c>
      <c r="I180" s="69">
        <f t="shared" si="26"/>
        <v>18.34</v>
      </c>
      <c r="J180" s="69">
        <f t="shared" si="26"/>
        <v>586.07749999999999</v>
      </c>
      <c r="K180" s="69">
        <f t="shared" si="26"/>
        <v>229.21499999999997</v>
      </c>
      <c r="L180" s="64">
        <f t="shared" si="26"/>
        <v>11.3925</v>
      </c>
    </row>
    <row r="181" spans="2:13" ht="32.25" customHeight="1" thickBot="1" x14ac:dyDescent="0.45">
      <c r="B181" s="2" t="s">
        <v>25</v>
      </c>
      <c r="C181" s="41"/>
      <c r="D181" s="41"/>
      <c r="E181" s="41"/>
      <c r="F181" s="41"/>
      <c r="G181" s="41"/>
      <c r="H181" s="41"/>
      <c r="I181" s="41"/>
      <c r="J181" s="41"/>
      <c r="K181" s="41"/>
      <c r="L181" s="42"/>
    </row>
    <row r="182" spans="2:13" ht="24" customHeight="1" thickBot="1" x14ac:dyDescent="0.45">
      <c r="B182" s="172" t="s">
        <v>4</v>
      </c>
      <c r="C182" s="166" t="s">
        <v>0</v>
      </c>
      <c r="D182" s="166" t="s">
        <v>31</v>
      </c>
      <c r="E182" s="163" t="s">
        <v>12</v>
      </c>
      <c r="F182" s="164"/>
      <c r="G182" s="164"/>
      <c r="H182" s="165"/>
      <c r="I182" s="168" t="s">
        <v>36</v>
      </c>
      <c r="J182" s="170" t="s">
        <v>37</v>
      </c>
      <c r="K182" s="170" t="s">
        <v>38</v>
      </c>
      <c r="L182" s="170" t="s">
        <v>40</v>
      </c>
    </row>
    <row r="183" spans="2:13" ht="46.5" customHeight="1" thickBot="1" x14ac:dyDescent="0.45">
      <c r="B183" s="173"/>
      <c r="C183" s="167"/>
      <c r="D183" s="167"/>
      <c r="E183" s="23" t="s">
        <v>32</v>
      </c>
      <c r="F183" s="23" t="s">
        <v>33</v>
      </c>
      <c r="G183" s="23" t="s">
        <v>34</v>
      </c>
      <c r="H183" s="23" t="s">
        <v>35</v>
      </c>
      <c r="I183" s="169"/>
      <c r="J183" s="171"/>
      <c r="K183" s="171"/>
      <c r="L183" s="171"/>
    </row>
    <row r="184" spans="2:13" ht="27" customHeight="1" thickBot="1" x14ac:dyDescent="0.45">
      <c r="B184" s="74" t="s">
        <v>27</v>
      </c>
      <c r="C184" s="51"/>
      <c r="D184" s="51"/>
      <c r="E184" s="51"/>
      <c r="F184" s="51"/>
      <c r="G184" s="51"/>
      <c r="H184" s="51"/>
      <c r="I184" s="51"/>
      <c r="J184" s="51"/>
      <c r="K184" s="75"/>
      <c r="L184" s="110"/>
    </row>
    <row r="185" spans="2:13" ht="27" customHeight="1" thickBot="1" x14ac:dyDescent="0.45">
      <c r="B185" s="58" t="s">
        <v>69</v>
      </c>
      <c r="C185" s="14" t="s">
        <v>81</v>
      </c>
      <c r="D185" s="36">
        <v>60</v>
      </c>
      <c r="E185" s="12">
        <v>0.66</v>
      </c>
      <c r="F185" s="12">
        <v>0.12</v>
      </c>
      <c r="G185" s="12">
        <v>2.2799999999999998</v>
      </c>
      <c r="H185" s="7">
        <v>13.2</v>
      </c>
      <c r="I185" s="16">
        <v>10.5</v>
      </c>
      <c r="J185" s="46">
        <v>8.4</v>
      </c>
      <c r="K185" s="18">
        <v>12</v>
      </c>
      <c r="L185" s="7">
        <v>0.54</v>
      </c>
    </row>
    <row r="186" spans="2:13" ht="29.25" customHeight="1" thickBot="1" x14ac:dyDescent="0.45">
      <c r="B186" s="9" t="s">
        <v>91</v>
      </c>
      <c r="C186" s="10" t="s">
        <v>73</v>
      </c>
      <c r="D186" s="11">
        <v>100</v>
      </c>
      <c r="E186" s="12">
        <v>10.63</v>
      </c>
      <c r="F186" s="12">
        <v>12.64</v>
      </c>
      <c r="G186" s="12">
        <v>19.02</v>
      </c>
      <c r="H186" s="12">
        <v>209.45</v>
      </c>
      <c r="I186" s="12">
        <v>0.54</v>
      </c>
      <c r="J186" s="12">
        <v>60.77</v>
      </c>
      <c r="K186" s="13">
        <v>33.950000000000003</v>
      </c>
      <c r="L186" s="7">
        <v>1.2</v>
      </c>
    </row>
    <row r="187" spans="2:13" ht="29.25" customHeight="1" thickBot="1" x14ac:dyDescent="0.45">
      <c r="B187" s="9" t="s">
        <v>96</v>
      </c>
      <c r="C187" s="10" t="s">
        <v>74</v>
      </c>
      <c r="D187" s="11">
        <v>150</v>
      </c>
      <c r="E187" s="12">
        <v>3.25</v>
      </c>
      <c r="F187" s="12">
        <v>2.88</v>
      </c>
      <c r="G187" s="12">
        <v>28.99</v>
      </c>
      <c r="H187" s="12">
        <v>189.56</v>
      </c>
      <c r="I187" s="12">
        <v>25.95</v>
      </c>
      <c r="J187" s="12">
        <v>145.59</v>
      </c>
      <c r="K187" s="13">
        <v>32.99</v>
      </c>
      <c r="L187" s="7">
        <v>1.22</v>
      </c>
    </row>
    <row r="188" spans="2:13" ht="28.5" customHeight="1" thickBot="1" x14ac:dyDescent="0.45">
      <c r="B188" s="9" t="s">
        <v>14</v>
      </c>
      <c r="C188" s="28" t="s">
        <v>42</v>
      </c>
      <c r="D188" s="15">
        <v>20</v>
      </c>
      <c r="E188" s="16">
        <v>1.52</v>
      </c>
      <c r="F188" s="16">
        <v>0.16</v>
      </c>
      <c r="G188" s="16">
        <v>9.84</v>
      </c>
      <c r="H188" s="16">
        <v>47</v>
      </c>
      <c r="I188" s="16">
        <v>0</v>
      </c>
      <c r="J188" s="16">
        <v>4.5999999999999996</v>
      </c>
      <c r="K188" s="18">
        <v>6.6</v>
      </c>
      <c r="L188" s="7">
        <v>0.38</v>
      </c>
    </row>
    <row r="189" spans="2:13" ht="27.75" customHeight="1" thickBot="1" x14ac:dyDescent="0.45">
      <c r="B189" s="9" t="s">
        <v>100</v>
      </c>
      <c r="C189" s="28" t="s">
        <v>101</v>
      </c>
      <c r="D189" s="111">
        <v>180</v>
      </c>
      <c r="E189" s="6">
        <v>0.11</v>
      </c>
      <c r="F189" s="7">
        <v>0.12</v>
      </c>
      <c r="G189" s="6">
        <v>25.09</v>
      </c>
      <c r="H189" s="6">
        <v>119.2</v>
      </c>
      <c r="I189" s="7">
        <v>1.83</v>
      </c>
      <c r="J189" s="6">
        <v>11.46</v>
      </c>
      <c r="K189" s="13">
        <v>3.64</v>
      </c>
      <c r="L189" s="7">
        <v>0.56999999999999995</v>
      </c>
    </row>
    <row r="190" spans="2:13" ht="30.75" customHeight="1" thickBot="1" x14ac:dyDescent="0.45">
      <c r="B190" s="150"/>
      <c r="C190" s="140" t="s">
        <v>28</v>
      </c>
      <c r="D190" s="151">
        <f t="shared" ref="D190:L190" si="27">SUM(D185:D189)</f>
        <v>510</v>
      </c>
      <c r="E190" s="131">
        <f t="shared" si="27"/>
        <v>16.170000000000002</v>
      </c>
      <c r="F190" s="152">
        <f t="shared" si="27"/>
        <v>15.92</v>
      </c>
      <c r="G190" s="131">
        <f t="shared" si="27"/>
        <v>85.22</v>
      </c>
      <c r="H190" s="152">
        <f t="shared" si="27"/>
        <v>578.41</v>
      </c>
      <c r="I190" s="131">
        <f t="shared" si="27"/>
        <v>38.819999999999993</v>
      </c>
      <c r="J190" s="152">
        <f t="shared" si="27"/>
        <v>230.82</v>
      </c>
      <c r="K190" s="131">
        <f t="shared" si="27"/>
        <v>89.179999999999993</v>
      </c>
      <c r="L190" s="131">
        <f t="shared" si="27"/>
        <v>3.9099999999999997</v>
      </c>
      <c r="M190" s="43"/>
    </row>
    <row r="191" spans="2:13" ht="23.25" customHeight="1" thickBot="1" x14ac:dyDescent="0.45">
      <c r="B191" s="76" t="s">
        <v>20</v>
      </c>
      <c r="C191" s="51"/>
      <c r="D191" s="77"/>
      <c r="E191" s="56"/>
      <c r="F191" s="56"/>
      <c r="G191" s="56"/>
      <c r="H191" s="56"/>
      <c r="I191" s="56"/>
      <c r="J191" s="56"/>
      <c r="K191" s="78"/>
      <c r="L191" s="79"/>
    </row>
    <row r="192" spans="2:13" ht="27.75" customHeight="1" thickBot="1" x14ac:dyDescent="0.45">
      <c r="B192" s="35" t="s">
        <v>69</v>
      </c>
      <c r="C192" s="14" t="s">
        <v>81</v>
      </c>
      <c r="D192" s="36">
        <v>60</v>
      </c>
      <c r="E192" s="6">
        <v>0.66</v>
      </c>
      <c r="F192" s="6">
        <v>0.12</v>
      </c>
      <c r="G192" s="6">
        <v>2.2799999999999998</v>
      </c>
      <c r="H192" s="6">
        <v>13.2</v>
      </c>
      <c r="I192" s="16">
        <v>10.5</v>
      </c>
      <c r="J192" s="38">
        <v>8.4</v>
      </c>
      <c r="K192" s="16">
        <v>12</v>
      </c>
      <c r="L192" s="16">
        <v>0.54</v>
      </c>
    </row>
    <row r="193" spans="1:14" ht="27.75" customHeight="1" thickBot="1" x14ac:dyDescent="0.45">
      <c r="B193" s="35" t="s">
        <v>121</v>
      </c>
      <c r="C193" s="14" t="s">
        <v>122</v>
      </c>
      <c r="D193" s="36">
        <v>200</v>
      </c>
      <c r="E193" s="6">
        <v>1.31</v>
      </c>
      <c r="F193" s="6">
        <v>4.8600000000000003</v>
      </c>
      <c r="G193" s="6">
        <v>8.67</v>
      </c>
      <c r="H193" s="6">
        <v>106.06</v>
      </c>
      <c r="I193" s="16">
        <v>14.48</v>
      </c>
      <c r="J193" s="38">
        <v>27.49</v>
      </c>
      <c r="K193" s="18">
        <v>15.19</v>
      </c>
      <c r="L193" s="7">
        <v>0.72</v>
      </c>
    </row>
    <row r="194" spans="1:14" ht="26.25" customHeight="1" thickBot="1" x14ac:dyDescent="0.45">
      <c r="B194" s="35" t="s">
        <v>123</v>
      </c>
      <c r="C194" s="14" t="s">
        <v>124</v>
      </c>
      <c r="D194" s="36">
        <v>200</v>
      </c>
      <c r="E194" s="6">
        <f>13.48*200/280</f>
        <v>9.6285714285714281</v>
      </c>
      <c r="F194" s="6">
        <f>21.99*200/280</f>
        <v>15.707142857142857</v>
      </c>
      <c r="G194" s="6">
        <f>51.12*200/280</f>
        <v>36.514285714285712</v>
      </c>
      <c r="H194" s="6">
        <f>400.02*200/280</f>
        <v>285.72857142857146</v>
      </c>
      <c r="I194" s="16">
        <f>3.47*200/280</f>
        <v>2.4785714285714286</v>
      </c>
      <c r="J194" s="38">
        <f>36.05*200/280</f>
        <v>25.749999999999996</v>
      </c>
      <c r="K194" s="18">
        <f>126.69*200/280</f>
        <v>90.492857142857147</v>
      </c>
      <c r="L194" s="7">
        <f>5.14*200/280</f>
        <v>3.6714285714285713</v>
      </c>
    </row>
    <row r="195" spans="1:14" ht="27.75" customHeight="1" thickBot="1" x14ac:dyDescent="0.45">
      <c r="B195" s="35" t="s">
        <v>14</v>
      </c>
      <c r="C195" s="14" t="s">
        <v>42</v>
      </c>
      <c r="D195" s="36">
        <v>45</v>
      </c>
      <c r="E195" s="6">
        <v>3.4200000000000004</v>
      </c>
      <c r="F195" s="6">
        <v>0.36</v>
      </c>
      <c r="G195" s="6">
        <v>22.106249999999996</v>
      </c>
      <c r="H195" s="6">
        <v>105.75</v>
      </c>
      <c r="I195" s="18">
        <v>0</v>
      </c>
      <c r="J195" s="26">
        <v>10.349999999999998</v>
      </c>
      <c r="K195" s="18">
        <v>14.85</v>
      </c>
      <c r="L195" s="18">
        <v>0.85500000000000009</v>
      </c>
    </row>
    <row r="196" spans="1:14" ht="26.25" customHeight="1" thickBot="1" x14ac:dyDescent="0.45">
      <c r="B196" s="35" t="s">
        <v>16</v>
      </c>
      <c r="C196" s="14" t="s">
        <v>43</v>
      </c>
      <c r="D196" s="36">
        <v>25</v>
      </c>
      <c r="E196" s="6">
        <v>1.65</v>
      </c>
      <c r="F196" s="6">
        <v>3</v>
      </c>
      <c r="G196" s="6">
        <v>8.35</v>
      </c>
      <c r="H196" s="6">
        <v>43.5</v>
      </c>
      <c r="I196" s="18">
        <v>0</v>
      </c>
      <c r="J196" s="26">
        <v>8.25</v>
      </c>
      <c r="K196" s="18">
        <v>14.250000000000002</v>
      </c>
      <c r="L196" s="18">
        <v>1.125</v>
      </c>
    </row>
    <row r="197" spans="1:14" ht="26.25" customHeight="1" thickBot="1" x14ac:dyDescent="0.45">
      <c r="B197" s="35" t="s">
        <v>26</v>
      </c>
      <c r="C197" s="14" t="s">
        <v>76</v>
      </c>
      <c r="D197" s="36">
        <v>200</v>
      </c>
      <c r="E197" s="6">
        <f>1.04*200/180</f>
        <v>1.1555555555555554</v>
      </c>
      <c r="F197" s="6">
        <f>0.27*200/180</f>
        <v>0.3</v>
      </c>
      <c r="G197" s="6">
        <f>42.53*200/180</f>
        <v>47.255555555555553</v>
      </c>
      <c r="H197" s="6">
        <f>176.74*200/180</f>
        <v>196.37777777777777</v>
      </c>
      <c r="I197" s="18">
        <f>0.72*200/180</f>
        <v>0.8</v>
      </c>
      <c r="J197" s="8">
        <f>5.26*200/180</f>
        <v>5.8444444444444441</v>
      </c>
      <c r="K197" s="109">
        <f>30.03*200/180</f>
        <v>33.366666666666667</v>
      </c>
      <c r="L197" s="39">
        <f>0.86*200/180</f>
        <v>0.9555555555555556</v>
      </c>
    </row>
    <row r="198" spans="1:14" ht="27.75" customHeight="1" thickBot="1" x14ac:dyDescent="0.45">
      <c r="B198" s="35" t="s">
        <v>17</v>
      </c>
      <c r="C198" s="14" t="s">
        <v>66</v>
      </c>
      <c r="D198" s="36">
        <v>100</v>
      </c>
      <c r="E198" s="6">
        <v>0.4</v>
      </c>
      <c r="F198" s="6">
        <v>0.4</v>
      </c>
      <c r="G198" s="6">
        <v>9.8000000000000007</v>
      </c>
      <c r="H198" s="6">
        <v>47</v>
      </c>
      <c r="I198" s="18">
        <v>10</v>
      </c>
      <c r="J198" s="8">
        <v>16</v>
      </c>
      <c r="K198" s="109">
        <v>9</v>
      </c>
      <c r="L198" s="39">
        <v>2.2000000000000002</v>
      </c>
    </row>
    <row r="199" spans="1:14" ht="33" customHeight="1" thickBot="1" x14ac:dyDescent="0.45">
      <c r="B199" s="80"/>
      <c r="C199" s="50" t="s">
        <v>2</v>
      </c>
      <c r="D199" s="62">
        <f>SUM(D192:D198)</f>
        <v>830</v>
      </c>
      <c r="E199" s="60">
        <f t="shared" ref="E199:L199" si="28">SUM(E192:E197)</f>
        <v>17.824126984126984</v>
      </c>
      <c r="F199" s="60">
        <f t="shared" si="28"/>
        <v>24.34714285714286</v>
      </c>
      <c r="G199" s="60">
        <f t="shared" si="28"/>
        <v>125.17609126984127</v>
      </c>
      <c r="H199" s="60">
        <f t="shared" si="28"/>
        <v>750.61634920634924</v>
      </c>
      <c r="I199" s="60">
        <f t="shared" si="28"/>
        <v>28.258571428571429</v>
      </c>
      <c r="J199" s="60">
        <f t="shared" si="28"/>
        <v>86.084444444444443</v>
      </c>
      <c r="K199" s="60">
        <f t="shared" si="28"/>
        <v>180.14952380952383</v>
      </c>
      <c r="L199" s="49">
        <f t="shared" si="28"/>
        <v>7.8669841269841276</v>
      </c>
    </row>
    <row r="200" spans="1:14" ht="30" customHeight="1" thickBot="1" x14ac:dyDescent="0.45">
      <c r="B200" s="81"/>
      <c r="C200" s="100" t="s">
        <v>3</v>
      </c>
      <c r="D200" s="101">
        <f t="shared" ref="D200:L200" si="29">D199+D190</f>
        <v>1340</v>
      </c>
      <c r="E200" s="66">
        <f t="shared" si="29"/>
        <v>33.994126984126986</v>
      </c>
      <c r="F200" s="66">
        <f t="shared" si="29"/>
        <v>40.267142857142858</v>
      </c>
      <c r="G200" s="66">
        <f t="shared" si="29"/>
        <v>210.39609126984126</v>
      </c>
      <c r="H200" s="66">
        <f t="shared" si="29"/>
        <v>1329.0263492063491</v>
      </c>
      <c r="I200" s="66">
        <f t="shared" si="29"/>
        <v>67.078571428571422</v>
      </c>
      <c r="J200" s="66">
        <f t="shared" si="29"/>
        <v>316.90444444444444</v>
      </c>
      <c r="K200" s="66">
        <f t="shared" si="29"/>
        <v>269.32952380952383</v>
      </c>
      <c r="L200" s="66">
        <f t="shared" si="29"/>
        <v>11.776984126984127</v>
      </c>
    </row>
    <row r="201" spans="1:14" ht="33.75" customHeight="1" thickBot="1" x14ac:dyDescent="0.45">
      <c r="B201" s="112"/>
      <c r="C201" s="113" t="s">
        <v>11</v>
      </c>
      <c r="D201" s="82">
        <f t="shared" ref="D201:L201" si="30">D200+D180+D161+D140+D120+D99+D81+D60+D41+D21</f>
        <v>12980</v>
      </c>
      <c r="E201" s="83">
        <f t="shared" si="30"/>
        <v>450.10118580765641</v>
      </c>
      <c r="F201" s="83">
        <f t="shared" si="30"/>
        <v>433.52665266106442</v>
      </c>
      <c r="G201" s="83">
        <f t="shared" si="30"/>
        <v>2035.3225079365079</v>
      </c>
      <c r="H201" s="83">
        <f t="shared" si="30"/>
        <v>14035.575695611577</v>
      </c>
      <c r="I201" s="83">
        <f t="shared" si="30"/>
        <v>661.80719887955183</v>
      </c>
      <c r="J201" s="84">
        <f t="shared" si="30"/>
        <v>4720.2773692810451</v>
      </c>
      <c r="K201" s="84">
        <f t="shared" si="30"/>
        <v>2322.6338702147523</v>
      </c>
      <c r="L201" s="85">
        <f t="shared" si="30"/>
        <v>137.27824229691876</v>
      </c>
    </row>
    <row r="202" spans="1:14" ht="38.25" customHeight="1" thickBot="1" x14ac:dyDescent="0.45">
      <c r="B202" s="114"/>
      <c r="C202" s="115" t="s">
        <v>10</v>
      </c>
      <c r="D202" s="86">
        <f t="shared" ref="D202:L202" si="31">D201/10</f>
        <v>1298</v>
      </c>
      <c r="E202" s="87">
        <f t="shared" si="31"/>
        <v>45.010118580765642</v>
      </c>
      <c r="F202" s="88">
        <f t="shared" si="31"/>
        <v>43.352665266106442</v>
      </c>
      <c r="G202" s="89">
        <f t="shared" si="31"/>
        <v>203.5322507936508</v>
      </c>
      <c r="H202" s="89">
        <f t="shared" si="31"/>
        <v>1403.5575695611576</v>
      </c>
      <c r="I202" s="87">
        <f t="shared" si="31"/>
        <v>66.180719887955178</v>
      </c>
      <c r="J202" s="90">
        <f t="shared" si="31"/>
        <v>472.0277369281045</v>
      </c>
      <c r="K202" s="85">
        <f t="shared" si="31"/>
        <v>232.26338702147524</v>
      </c>
      <c r="L202" s="85">
        <f t="shared" si="31"/>
        <v>13.727824229691876</v>
      </c>
    </row>
    <row r="203" spans="1:14" ht="31.5" customHeight="1" x14ac:dyDescent="0.4">
      <c r="A203" s="91" t="s">
        <v>30</v>
      </c>
      <c r="B203" s="174"/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</row>
    <row r="204" spans="1:14" ht="21" x14ac:dyDescent="0.4">
      <c r="B204" s="92"/>
    </row>
    <row r="205" spans="1:14" ht="21" x14ac:dyDescent="0.4">
      <c r="B205" s="92"/>
      <c r="M205" s="95"/>
      <c r="N205" s="95"/>
    </row>
    <row r="206" spans="1:14" ht="21" x14ac:dyDescent="0.4">
      <c r="B206" s="92"/>
      <c r="M206" s="95"/>
      <c r="N206" s="95"/>
    </row>
    <row r="207" spans="1:14" ht="21" x14ac:dyDescent="0.4">
      <c r="B207" s="92"/>
      <c r="M207" s="95"/>
      <c r="N207" s="95"/>
    </row>
    <row r="208" spans="1:14" ht="33" customHeight="1" x14ac:dyDescent="0.4">
      <c r="B208" s="92"/>
      <c r="M208" s="95"/>
      <c r="N208" s="95"/>
    </row>
    <row r="209" spans="2:15" ht="39.75" customHeight="1" x14ac:dyDescent="0.4">
      <c r="B209" s="92"/>
      <c r="M209" s="95"/>
      <c r="N209" s="95"/>
    </row>
    <row r="210" spans="2:15" ht="39.75" customHeight="1" x14ac:dyDescent="0.4">
      <c r="B210" s="92"/>
      <c r="M210" s="95"/>
      <c r="N210" s="95"/>
      <c r="O210" s="95"/>
    </row>
    <row r="211" spans="2:15" ht="39.75" customHeight="1" x14ac:dyDescent="0.4">
      <c r="B211" s="92"/>
      <c r="M211" s="95"/>
      <c r="N211" s="95"/>
      <c r="O211" s="95"/>
    </row>
    <row r="212" spans="2:15" ht="39.75" customHeight="1" x14ac:dyDescent="0.4">
      <c r="B212" s="92"/>
      <c r="M212" s="95"/>
      <c r="N212" s="95"/>
      <c r="O212" s="95"/>
    </row>
    <row r="213" spans="2:15" ht="39.75" customHeight="1" x14ac:dyDescent="0.4">
      <c r="B213" s="92"/>
      <c r="M213" s="95"/>
      <c r="N213" s="95"/>
      <c r="O213" s="95"/>
    </row>
    <row r="214" spans="2:15" ht="39.75" customHeight="1" x14ac:dyDescent="0.4">
      <c r="B214" s="92"/>
      <c r="M214" s="95"/>
      <c r="N214" s="95"/>
      <c r="O214" s="95"/>
    </row>
    <row r="215" spans="2:15" ht="39.75" customHeight="1" x14ac:dyDescent="0.4">
      <c r="B215" s="92"/>
      <c r="M215" s="95"/>
      <c r="N215" s="95"/>
      <c r="O215" s="95"/>
    </row>
    <row r="216" spans="2:15" ht="39.75" customHeight="1" x14ac:dyDescent="0.4">
      <c r="B216" s="92"/>
      <c r="M216" s="95"/>
      <c r="N216" s="95"/>
      <c r="O216" s="95"/>
    </row>
    <row r="217" spans="2:15" ht="39.75" customHeight="1" x14ac:dyDescent="0.4">
      <c r="B217" s="92"/>
      <c r="M217" s="95"/>
      <c r="N217" s="95"/>
      <c r="O217" s="95"/>
    </row>
    <row r="218" spans="2:15" ht="39.75" customHeight="1" x14ac:dyDescent="0.4">
      <c r="B218" s="92"/>
      <c r="M218" s="95"/>
      <c r="N218" s="95"/>
      <c r="O218" s="95"/>
    </row>
    <row r="219" spans="2:15" ht="39.75" customHeight="1" x14ac:dyDescent="0.4">
      <c r="B219" s="92"/>
      <c r="M219" s="95"/>
      <c r="N219" s="95"/>
      <c r="O219" s="95"/>
    </row>
    <row r="220" spans="2:15" ht="39.75" customHeight="1" x14ac:dyDescent="0.4">
      <c r="B220" s="92"/>
      <c r="M220" s="95"/>
      <c r="N220" s="95"/>
      <c r="O220" s="95"/>
    </row>
    <row r="221" spans="2:15" ht="39.75" customHeight="1" x14ac:dyDescent="0.4">
      <c r="B221" s="92"/>
      <c r="M221" s="95"/>
      <c r="N221" s="95"/>
      <c r="O221" s="95"/>
    </row>
  </sheetData>
  <autoFilter ref="C4:C212"/>
  <mergeCells count="82">
    <mergeCell ref="B203:L203"/>
    <mergeCell ref="J163:J164"/>
    <mergeCell ref="K163:K164"/>
    <mergeCell ref="L163:L164"/>
    <mergeCell ref="B182:B183"/>
    <mergeCell ref="C182:C183"/>
    <mergeCell ref="D182:D183"/>
    <mergeCell ref="E182:H182"/>
    <mergeCell ref="I182:I183"/>
    <mergeCell ref="J182:J183"/>
    <mergeCell ref="K182:K183"/>
    <mergeCell ref="L182:L183"/>
    <mergeCell ref="B163:B164"/>
    <mergeCell ref="C163:C164"/>
    <mergeCell ref="D163:D164"/>
    <mergeCell ref="E163:H163"/>
    <mergeCell ref="I163:I164"/>
    <mergeCell ref="J122:J123"/>
    <mergeCell ref="K122:K123"/>
    <mergeCell ref="L122:L123"/>
    <mergeCell ref="B142:B143"/>
    <mergeCell ref="C142:C143"/>
    <mergeCell ref="D142:D143"/>
    <mergeCell ref="E142:H142"/>
    <mergeCell ref="I142:I143"/>
    <mergeCell ref="J142:J143"/>
    <mergeCell ref="K142:K143"/>
    <mergeCell ref="L142:L143"/>
    <mergeCell ref="J101:J102"/>
    <mergeCell ref="K101:K102"/>
    <mergeCell ref="L101:L102"/>
    <mergeCell ref="I122:I123"/>
    <mergeCell ref="B101:B102"/>
    <mergeCell ref="C101:C102"/>
    <mergeCell ref="D101:D102"/>
    <mergeCell ref="I101:I102"/>
    <mergeCell ref="B122:B123"/>
    <mergeCell ref="C122:C123"/>
    <mergeCell ref="D122:D123"/>
    <mergeCell ref="E122:H122"/>
    <mergeCell ref="E101:H101"/>
    <mergeCell ref="J83:J84"/>
    <mergeCell ref="K83:K84"/>
    <mergeCell ref="L83:L84"/>
    <mergeCell ref="B83:B84"/>
    <mergeCell ref="C83:C84"/>
    <mergeCell ref="D83:D84"/>
    <mergeCell ref="I83:I84"/>
    <mergeCell ref="E83:H83"/>
    <mergeCell ref="J62:J63"/>
    <mergeCell ref="K62:K63"/>
    <mergeCell ref="L62:L63"/>
    <mergeCell ref="B62:B63"/>
    <mergeCell ref="C62:C63"/>
    <mergeCell ref="D62:D63"/>
    <mergeCell ref="I62:I63"/>
    <mergeCell ref="L43:L44"/>
    <mergeCell ref="B43:B44"/>
    <mergeCell ref="C43:C44"/>
    <mergeCell ref="D43:D44"/>
    <mergeCell ref="I43:I44"/>
    <mergeCell ref="C23:C24"/>
    <mergeCell ref="D23:D24"/>
    <mergeCell ref="I23:I24"/>
    <mergeCell ref="J43:J44"/>
    <mergeCell ref="K43:K44"/>
    <mergeCell ref="B2:L2"/>
    <mergeCell ref="E4:H4"/>
    <mergeCell ref="E23:H23"/>
    <mergeCell ref="E43:H43"/>
    <mergeCell ref="E62:H62"/>
    <mergeCell ref="B4:B5"/>
    <mergeCell ref="C4:C5"/>
    <mergeCell ref="D4:D5"/>
    <mergeCell ref="I4:I5"/>
    <mergeCell ref="J4:J5"/>
    <mergeCell ref="K4:K5"/>
    <mergeCell ref="J23:J24"/>
    <mergeCell ref="K23:K24"/>
    <mergeCell ref="L23:L24"/>
    <mergeCell ref="L4:L5"/>
    <mergeCell ref="B23:B24"/>
  </mergeCells>
  <pageMargins left="0" right="0" top="0.35433070866141736" bottom="0.15748031496062992" header="0.19685039370078741" footer="0"/>
  <pageSetup paperSize="9" scale="47" orientation="landscape" r:id="rId1"/>
  <rowBreaks count="7" manualBreakCount="7">
    <brk id="41" max="11" man="1"/>
    <brk id="81" max="11" man="1"/>
    <brk id="120" max="11" man="1"/>
    <brk id="161" max="11" man="1"/>
    <brk id="202" max="11" man="1"/>
    <brk id="208" max="12" man="1"/>
    <brk id="243" max="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2"/>
  <sheetViews>
    <sheetView view="pageBreakPreview" topLeftCell="A22" zoomScale="78" zoomScaleNormal="78" zoomScaleSheetLayoutView="78" workbookViewId="0">
      <selection activeCell="C186" sqref="C186:H191"/>
    </sheetView>
  </sheetViews>
  <sheetFormatPr defaultColWidth="9.109375" defaultRowHeight="39.75" customHeight="1" x14ac:dyDescent="0.4"/>
  <cols>
    <col min="1" max="1" width="4" style="20" customWidth="1"/>
    <col min="2" max="2" width="26.6640625" style="93" customWidth="1"/>
    <col min="3" max="3" width="65.33203125" style="92" customWidth="1"/>
    <col min="4" max="5" width="20.6640625" style="93" customWidth="1"/>
    <col min="6" max="6" width="21.5546875" style="93" customWidth="1"/>
    <col min="7" max="7" width="20.88671875" style="93" customWidth="1"/>
    <col min="8" max="8" width="17.6640625" style="93" customWidth="1"/>
    <col min="9" max="9" width="20.6640625" style="93" customWidth="1"/>
    <col min="10" max="10" width="21.109375" style="93" customWidth="1"/>
    <col min="11" max="11" width="21.33203125" style="94" customWidth="1"/>
    <col min="12" max="12" width="20.44140625" style="93" customWidth="1"/>
    <col min="13" max="13" width="8" style="20" customWidth="1"/>
    <col min="14" max="16384" width="9.109375" style="20"/>
  </cols>
  <sheetData>
    <row r="1" spans="2:12" ht="32.25" customHeight="1" thickBot="1" x14ac:dyDescent="0.45"/>
    <row r="2" spans="2:12" ht="31.5" customHeight="1" thickBot="1" x14ac:dyDescent="0.45">
      <c r="B2" s="160" t="s">
        <v>125</v>
      </c>
      <c r="C2" s="161"/>
      <c r="D2" s="161"/>
      <c r="E2" s="161"/>
      <c r="F2" s="161"/>
      <c r="G2" s="161"/>
      <c r="H2" s="161"/>
      <c r="I2" s="161"/>
      <c r="J2" s="161"/>
      <c r="K2" s="161"/>
      <c r="L2" s="162"/>
    </row>
    <row r="3" spans="2:12" ht="28.5" customHeight="1" thickBot="1" x14ac:dyDescent="0.45">
      <c r="B3" s="1" t="s">
        <v>6</v>
      </c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2:12" ht="21.75" customHeight="1" thickBot="1" x14ac:dyDescent="0.45">
      <c r="B4" s="166" t="s">
        <v>4</v>
      </c>
      <c r="C4" s="166" t="s">
        <v>0</v>
      </c>
      <c r="D4" s="166" t="s">
        <v>31</v>
      </c>
      <c r="E4" s="163" t="s">
        <v>12</v>
      </c>
      <c r="F4" s="164"/>
      <c r="G4" s="164"/>
      <c r="H4" s="165"/>
      <c r="I4" s="168" t="s">
        <v>36</v>
      </c>
      <c r="J4" s="170" t="s">
        <v>37</v>
      </c>
      <c r="K4" s="170" t="s">
        <v>38</v>
      </c>
      <c r="L4" s="170" t="s">
        <v>40</v>
      </c>
    </row>
    <row r="5" spans="2:12" ht="42" customHeight="1" thickBot="1" x14ac:dyDescent="0.45">
      <c r="B5" s="167"/>
      <c r="C5" s="167"/>
      <c r="D5" s="167"/>
      <c r="E5" s="23" t="s">
        <v>32</v>
      </c>
      <c r="F5" s="23" t="s">
        <v>33</v>
      </c>
      <c r="G5" s="23" t="s">
        <v>34</v>
      </c>
      <c r="H5" s="23" t="s">
        <v>35</v>
      </c>
      <c r="I5" s="169"/>
      <c r="J5" s="171"/>
      <c r="K5" s="171"/>
      <c r="L5" s="171"/>
    </row>
    <row r="6" spans="2:12" ht="27.75" customHeight="1" thickBot="1" x14ac:dyDescent="0.45">
      <c r="B6" s="24" t="s">
        <v>27</v>
      </c>
      <c r="C6" s="25"/>
      <c r="D6" s="26"/>
      <c r="E6" s="26"/>
      <c r="F6" s="26"/>
      <c r="G6" s="26"/>
      <c r="H6" s="26"/>
      <c r="I6" s="26"/>
      <c r="J6" s="26"/>
      <c r="K6" s="26"/>
      <c r="L6" s="27"/>
    </row>
    <row r="7" spans="2:12" ht="30" customHeight="1" thickBot="1" x14ac:dyDescent="0.45">
      <c r="B7" s="35" t="s">
        <v>92</v>
      </c>
      <c r="C7" s="14" t="s">
        <v>70</v>
      </c>
      <c r="D7" s="36">
        <v>220</v>
      </c>
      <c r="E7" s="6">
        <f>17.7*200/170</f>
        <v>20.823529411764707</v>
      </c>
      <c r="F7" s="6">
        <f>16.78*200/170</f>
        <v>19.741176470588236</v>
      </c>
      <c r="G7" s="6">
        <f>42*200/170</f>
        <v>49.411764705882355</v>
      </c>
      <c r="H7" s="6">
        <f>444.43*200/170</f>
        <v>522.85882352941178</v>
      </c>
      <c r="I7" s="12">
        <f>1.36*200/170</f>
        <v>1.6</v>
      </c>
      <c r="J7" s="12">
        <f>291.57*200/170</f>
        <v>343.02352941176468</v>
      </c>
      <c r="K7" s="12">
        <f>45.82*200/170</f>
        <v>53.905882352941177</v>
      </c>
      <c r="L7" s="7">
        <f>1.14*200/170</f>
        <v>1.3411764705882352</v>
      </c>
    </row>
    <row r="8" spans="2:12" ht="28.5" customHeight="1" thickBot="1" x14ac:dyDescent="0.45">
      <c r="B8" s="35" t="s">
        <v>14</v>
      </c>
      <c r="C8" s="14" t="s">
        <v>42</v>
      </c>
      <c r="D8" s="36">
        <v>40</v>
      </c>
      <c r="E8" s="6">
        <f>2.28*40/30</f>
        <v>3.0399999999999996</v>
      </c>
      <c r="F8" s="6">
        <f>0.24*40/30</f>
        <v>0.32</v>
      </c>
      <c r="G8" s="6">
        <f>14.76*40/30</f>
        <v>19.68</v>
      </c>
      <c r="H8" s="6">
        <f>70.5*40/30</f>
        <v>94</v>
      </c>
      <c r="I8" s="12">
        <v>0</v>
      </c>
      <c r="J8" s="12">
        <f>6.9*40/30</f>
        <v>9.1999999999999993</v>
      </c>
      <c r="K8" s="12">
        <f>9.9*40/30</f>
        <v>13.2</v>
      </c>
      <c r="L8" s="7">
        <f>0.57*40/30</f>
        <v>0.7599999999999999</v>
      </c>
    </row>
    <row r="9" spans="2:12" ht="30" customHeight="1" thickBot="1" x14ac:dyDescent="0.45">
      <c r="B9" s="9" t="s">
        <v>93</v>
      </c>
      <c r="C9" s="10" t="s">
        <v>94</v>
      </c>
      <c r="D9" s="11">
        <v>200</v>
      </c>
      <c r="E9" s="12">
        <v>0.06</v>
      </c>
      <c r="F9" s="12">
        <v>0.01</v>
      </c>
      <c r="G9" s="12">
        <v>7.2</v>
      </c>
      <c r="H9" s="12">
        <v>30.31</v>
      </c>
      <c r="I9" s="12">
        <v>2.85</v>
      </c>
      <c r="J9" s="12">
        <v>5.49</v>
      </c>
      <c r="K9" s="13">
        <v>3.04</v>
      </c>
      <c r="L9" s="7">
        <v>0.47</v>
      </c>
    </row>
    <row r="10" spans="2:12" ht="28.5" customHeight="1" thickBot="1" x14ac:dyDescent="0.45">
      <c r="B10" s="9" t="s">
        <v>17</v>
      </c>
      <c r="C10" s="28" t="s">
        <v>66</v>
      </c>
      <c r="D10" s="36">
        <v>100</v>
      </c>
      <c r="E10" s="6">
        <v>0.4</v>
      </c>
      <c r="F10" s="6">
        <v>0.4</v>
      </c>
      <c r="G10" s="6">
        <v>9.8000000000000007</v>
      </c>
      <c r="H10" s="6">
        <v>47</v>
      </c>
      <c r="I10" s="6">
        <v>10</v>
      </c>
      <c r="J10" s="6">
        <v>16</v>
      </c>
      <c r="K10" s="13">
        <v>9</v>
      </c>
      <c r="L10" s="7">
        <v>2.2000000000000002</v>
      </c>
    </row>
    <row r="11" spans="2:12" ht="32.25" customHeight="1" thickBot="1" x14ac:dyDescent="0.45">
      <c r="B11" s="130"/>
      <c r="C11" s="67" t="s">
        <v>28</v>
      </c>
      <c r="D11" s="99">
        <f t="shared" ref="D11:L11" si="0">SUM(D7:D10)</f>
        <v>560</v>
      </c>
      <c r="E11" s="131">
        <f t="shared" si="0"/>
        <v>24.323529411764703</v>
      </c>
      <c r="F11" s="64">
        <f t="shared" si="0"/>
        <v>20.471176470588237</v>
      </c>
      <c r="G11" s="64">
        <f t="shared" si="0"/>
        <v>86.091764705882355</v>
      </c>
      <c r="H11" s="64">
        <f t="shared" si="0"/>
        <v>694.16882352941172</v>
      </c>
      <c r="I11" s="64">
        <f t="shared" si="0"/>
        <v>14.45</v>
      </c>
      <c r="J11" s="64">
        <f t="shared" si="0"/>
        <v>373.71352941176468</v>
      </c>
      <c r="K11" s="64">
        <f t="shared" si="0"/>
        <v>79.145882352941186</v>
      </c>
      <c r="L11" s="64">
        <f t="shared" si="0"/>
        <v>4.7711764705882356</v>
      </c>
    </row>
    <row r="12" spans="2:12" ht="28.95" customHeight="1" thickBot="1" x14ac:dyDescent="0.45">
      <c r="B12" s="29" t="s">
        <v>1</v>
      </c>
      <c r="C12" s="30"/>
      <c r="D12" s="31"/>
      <c r="E12" s="30"/>
      <c r="F12" s="30"/>
      <c r="G12" s="30"/>
      <c r="H12" s="30"/>
      <c r="I12" s="30"/>
      <c r="J12" s="30"/>
      <c r="K12" s="30"/>
      <c r="L12" s="32"/>
    </row>
    <row r="13" spans="2:12" ht="27" customHeight="1" thickBot="1" x14ac:dyDescent="0.45">
      <c r="B13" s="3" t="s">
        <v>106</v>
      </c>
      <c r="C13" s="4" t="s">
        <v>107</v>
      </c>
      <c r="D13" s="5">
        <v>100</v>
      </c>
      <c r="E13" s="33">
        <f>0.96*100/60</f>
        <v>1.6</v>
      </c>
      <c r="F13" s="33">
        <f>3.06*100/60</f>
        <v>5.0999999999999996</v>
      </c>
      <c r="G13" s="33">
        <f>1.95*100/60</f>
        <v>3.25</v>
      </c>
      <c r="H13" s="33">
        <f>40.61*100/60</f>
        <v>67.683333333333337</v>
      </c>
      <c r="I13" s="16">
        <f>11.89*100/60</f>
        <v>19.816666666666666</v>
      </c>
      <c r="J13" s="17">
        <f>31.34*100/60</f>
        <v>52.233333333333334</v>
      </c>
      <c r="K13" s="18">
        <f>9.61*100/60</f>
        <v>16.016666666666666</v>
      </c>
      <c r="L13" s="34">
        <f>0.4*100/60</f>
        <v>0.66666666666666663</v>
      </c>
    </row>
    <row r="14" spans="2:12" ht="29.25" customHeight="1" thickBot="1" x14ac:dyDescent="0.45">
      <c r="B14" s="35" t="s">
        <v>58</v>
      </c>
      <c r="C14" s="14" t="s">
        <v>79</v>
      </c>
      <c r="D14" s="36">
        <v>250</v>
      </c>
      <c r="E14" s="6">
        <f>1.87*250/200</f>
        <v>2.3374999999999999</v>
      </c>
      <c r="F14" s="6">
        <f>4.2*250/200</f>
        <v>5.25</v>
      </c>
      <c r="G14" s="6">
        <f>13.78*250/200</f>
        <v>17.225000000000001</v>
      </c>
      <c r="H14" s="7">
        <f>91.07*250/200</f>
        <v>113.83750000000001</v>
      </c>
      <c r="I14" s="18">
        <f>13.59*250/200</f>
        <v>16.987500000000001</v>
      </c>
      <c r="J14" s="26">
        <f>35.24*250/200</f>
        <v>44.05</v>
      </c>
      <c r="K14" s="18">
        <f>24.39*250/200</f>
        <v>30.487500000000001</v>
      </c>
      <c r="L14" s="27">
        <f>1.21*250/200</f>
        <v>1.5125</v>
      </c>
    </row>
    <row r="15" spans="2:12" ht="28.5" customHeight="1" thickBot="1" x14ac:dyDescent="0.45">
      <c r="B15" s="37" t="s">
        <v>91</v>
      </c>
      <c r="C15" s="28" t="s">
        <v>73</v>
      </c>
      <c r="D15" s="15">
        <v>100</v>
      </c>
      <c r="E15" s="16">
        <v>10.63</v>
      </c>
      <c r="F15" s="16">
        <v>12.64</v>
      </c>
      <c r="G15" s="16">
        <v>13.07</v>
      </c>
      <c r="H15" s="7">
        <v>209.45</v>
      </c>
      <c r="I15" s="7">
        <v>0.54</v>
      </c>
      <c r="J15" s="17">
        <v>60.77</v>
      </c>
      <c r="K15" s="18">
        <v>33.950000000000003</v>
      </c>
      <c r="L15" s="27">
        <v>1.2</v>
      </c>
    </row>
    <row r="16" spans="2:12" ht="27.75" customHeight="1" thickBot="1" x14ac:dyDescent="0.45">
      <c r="B16" s="35" t="s">
        <v>59</v>
      </c>
      <c r="C16" s="14" t="s">
        <v>50</v>
      </c>
      <c r="D16" s="36">
        <v>180</v>
      </c>
      <c r="E16" s="6">
        <f>4*180/150</f>
        <v>4.8</v>
      </c>
      <c r="F16" s="6">
        <f>4.24*180/150</f>
        <v>5.0880000000000001</v>
      </c>
      <c r="G16" s="6">
        <f>24.55*180/150</f>
        <v>29.46</v>
      </c>
      <c r="H16" s="33">
        <f>152.4*180/150</f>
        <v>182.88</v>
      </c>
      <c r="I16" s="16">
        <v>0</v>
      </c>
      <c r="J16" s="38">
        <f>10.53*180/150</f>
        <v>12.635999999999999</v>
      </c>
      <c r="K16" s="39">
        <f>99.9*180/150</f>
        <v>119.88</v>
      </c>
      <c r="L16" s="34">
        <f>3.36*180/150</f>
        <v>4.032</v>
      </c>
    </row>
    <row r="17" spans="2:16" ht="27.75" customHeight="1" thickBot="1" x14ac:dyDescent="0.45">
      <c r="B17" s="35" t="s">
        <v>55</v>
      </c>
      <c r="C17" s="14" t="s">
        <v>56</v>
      </c>
      <c r="D17" s="36">
        <v>180</v>
      </c>
      <c r="E17" s="6">
        <v>0.9</v>
      </c>
      <c r="F17" s="6">
        <v>0.18</v>
      </c>
      <c r="G17" s="6">
        <v>18.18</v>
      </c>
      <c r="H17" s="6">
        <v>82.8</v>
      </c>
      <c r="I17" s="16">
        <v>3.6</v>
      </c>
      <c r="J17" s="38">
        <v>12.6</v>
      </c>
      <c r="K17" s="39">
        <v>7.2</v>
      </c>
      <c r="L17" s="34">
        <v>2.52</v>
      </c>
    </row>
    <row r="18" spans="2:16" ht="28.5" customHeight="1" thickBot="1" x14ac:dyDescent="0.45">
      <c r="B18" s="9" t="s">
        <v>14</v>
      </c>
      <c r="C18" s="10" t="s">
        <v>42</v>
      </c>
      <c r="D18" s="11">
        <v>60</v>
      </c>
      <c r="E18" s="12">
        <f>3.42*60/45</f>
        <v>4.5599999999999996</v>
      </c>
      <c r="F18" s="12">
        <f>0.36*60/45</f>
        <v>0.47999999999999993</v>
      </c>
      <c r="G18" s="12">
        <f>22.11*60/45</f>
        <v>29.479999999999997</v>
      </c>
      <c r="H18" s="12">
        <f>105.75*60/45</f>
        <v>141</v>
      </c>
      <c r="I18" s="12">
        <v>0</v>
      </c>
      <c r="J18" s="12">
        <f>10.35*60/45</f>
        <v>13.8</v>
      </c>
      <c r="K18" s="13">
        <f>14.85*60/45</f>
        <v>19.8</v>
      </c>
      <c r="L18" s="7">
        <f>0.86*60/45</f>
        <v>1.1466666666666667</v>
      </c>
    </row>
    <row r="19" spans="2:16" ht="30" customHeight="1" thickBot="1" x14ac:dyDescent="0.45">
      <c r="B19" s="9" t="s">
        <v>16</v>
      </c>
      <c r="C19" s="28" t="s">
        <v>43</v>
      </c>
      <c r="D19" s="15">
        <v>40</v>
      </c>
      <c r="E19" s="16">
        <f>1.65*40/25</f>
        <v>2.64</v>
      </c>
      <c r="F19" s="16">
        <f>3*40/25</f>
        <v>4.8</v>
      </c>
      <c r="G19" s="16">
        <f>8.35*40/25</f>
        <v>13.36</v>
      </c>
      <c r="H19" s="16">
        <f>43.5*40/25</f>
        <v>69.599999999999994</v>
      </c>
      <c r="I19" s="7">
        <v>0</v>
      </c>
      <c r="J19" s="16">
        <f>8.25*40/25</f>
        <v>13.2</v>
      </c>
      <c r="K19" s="18">
        <f>14.25*40/25</f>
        <v>22.8</v>
      </c>
      <c r="L19" s="7">
        <f>1.13*40/25</f>
        <v>1.8079999999999998</v>
      </c>
      <c r="P19" s="104"/>
    </row>
    <row r="20" spans="2:16" ht="35.25" customHeight="1" thickBot="1" x14ac:dyDescent="0.45">
      <c r="B20" s="40"/>
      <c r="C20" s="67" t="s">
        <v>2</v>
      </c>
      <c r="D20" s="68">
        <f t="shared" ref="D20:L20" si="1">SUM(D13:D19)</f>
        <v>910</v>
      </c>
      <c r="E20" s="69">
        <f t="shared" si="1"/>
        <v>27.467499999999998</v>
      </c>
      <c r="F20" s="69">
        <f t="shared" si="1"/>
        <v>33.538000000000004</v>
      </c>
      <c r="G20" s="69">
        <f t="shared" si="1"/>
        <v>124.02499999999999</v>
      </c>
      <c r="H20" s="69">
        <f t="shared" si="1"/>
        <v>867.25083333333328</v>
      </c>
      <c r="I20" s="102">
        <f t="shared" si="1"/>
        <v>40.944166666666668</v>
      </c>
      <c r="J20" s="96">
        <f t="shared" si="1"/>
        <v>209.28933333333333</v>
      </c>
      <c r="K20" s="64">
        <f t="shared" si="1"/>
        <v>250.13416666666666</v>
      </c>
      <c r="L20" s="103">
        <f t="shared" si="1"/>
        <v>12.885833333333332</v>
      </c>
    </row>
    <row r="21" spans="2:16" ht="34.950000000000003" customHeight="1" thickBot="1" x14ac:dyDescent="0.45">
      <c r="B21" s="132"/>
      <c r="C21" s="133" t="s">
        <v>3</v>
      </c>
      <c r="D21" s="134">
        <f t="shared" ref="D21:L21" si="2">D20+D11</f>
        <v>1470</v>
      </c>
      <c r="E21" s="135">
        <f t="shared" si="2"/>
        <v>51.791029411764697</v>
      </c>
      <c r="F21" s="135">
        <f t="shared" si="2"/>
        <v>54.009176470588244</v>
      </c>
      <c r="G21" s="135">
        <f t="shared" si="2"/>
        <v>210.11676470588236</v>
      </c>
      <c r="H21" s="135">
        <f t="shared" si="2"/>
        <v>1561.4196568627449</v>
      </c>
      <c r="I21" s="135">
        <f t="shared" si="2"/>
        <v>55.394166666666663</v>
      </c>
      <c r="J21" s="135">
        <f t="shared" si="2"/>
        <v>583.00286274509801</v>
      </c>
      <c r="K21" s="135">
        <f t="shared" si="2"/>
        <v>329.28004901960787</v>
      </c>
      <c r="L21" s="64">
        <f t="shared" si="2"/>
        <v>17.657009803921568</v>
      </c>
    </row>
    <row r="22" spans="2:16" ht="28.5" customHeight="1" thickBot="1" x14ac:dyDescent="0.45">
      <c r="B22" s="2" t="s">
        <v>5</v>
      </c>
      <c r="C22" s="41"/>
      <c r="D22" s="41"/>
      <c r="E22" s="41"/>
      <c r="F22" s="41"/>
      <c r="G22" s="41"/>
      <c r="H22" s="41"/>
      <c r="I22" s="41"/>
      <c r="J22" s="41"/>
      <c r="K22" s="41"/>
      <c r="L22" s="42"/>
    </row>
    <row r="23" spans="2:16" ht="27.75" customHeight="1" thickBot="1" x14ac:dyDescent="0.45">
      <c r="B23" s="172" t="s">
        <v>4</v>
      </c>
      <c r="C23" s="166" t="s">
        <v>0</v>
      </c>
      <c r="D23" s="166" t="s">
        <v>31</v>
      </c>
      <c r="E23" s="163" t="s">
        <v>12</v>
      </c>
      <c r="F23" s="164"/>
      <c r="G23" s="164"/>
      <c r="H23" s="165"/>
      <c r="I23" s="168" t="s">
        <v>36</v>
      </c>
      <c r="J23" s="170" t="s">
        <v>37</v>
      </c>
      <c r="K23" s="170" t="s">
        <v>38</v>
      </c>
      <c r="L23" s="170" t="s">
        <v>40</v>
      </c>
    </row>
    <row r="24" spans="2:16" ht="42.75" customHeight="1" thickBot="1" x14ac:dyDescent="0.45">
      <c r="B24" s="173"/>
      <c r="C24" s="167"/>
      <c r="D24" s="167"/>
      <c r="E24" s="23" t="s">
        <v>32</v>
      </c>
      <c r="F24" s="23" t="s">
        <v>33</v>
      </c>
      <c r="G24" s="23" t="s">
        <v>34</v>
      </c>
      <c r="H24" s="23" t="s">
        <v>35</v>
      </c>
      <c r="I24" s="169"/>
      <c r="J24" s="171"/>
      <c r="K24" s="171"/>
      <c r="L24" s="171"/>
    </row>
    <row r="25" spans="2:16" ht="27.75" customHeight="1" thickBot="1" x14ac:dyDescent="0.45">
      <c r="B25" s="29" t="s">
        <v>27</v>
      </c>
      <c r="C25" s="30"/>
      <c r="D25" s="30"/>
      <c r="E25" s="30"/>
      <c r="F25" s="30"/>
      <c r="G25" s="30"/>
      <c r="H25" s="30"/>
      <c r="I25" s="30"/>
      <c r="J25" s="30"/>
      <c r="K25" s="30"/>
      <c r="L25" s="32"/>
    </row>
    <row r="26" spans="2:16" ht="27" customHeight="1" thickBot="1" x14ac:dyDescent="0.45">
      <c r="B26" s="9" t="s">
        <v>69</v>
      </c>
      <c r="C26" s="14" t="s">
        <v>81</v>
      </c>
      <c r="D26" s="36">
        <v>100</v>
      </c>
      <c r="E26" s="6">
        <v>0.7</v>
      </c>
      <c r="F26" s="6">
        <v>0.1</v>
      </c>
      <c r="G26" s="6">
        <v>1.8999999999999997</v>
      </c>
      <c r="H26" s="6">
        <v>11</v>
      </c>
      <c r="I26" s="6">
        <v>10</v>
      </c>
      <c r="J26" s="6">
        <v>23</v>
      </c>
      <c r="K26" s="16">
        <v>14</v>
      </c>
      <c r="L26" s="16">
        <v>0.9</v>
      </c>
    </row>
    <row r="27" spans="2:16" ht="27.75" customHeight="1" thickBot="1" x14ac:dyDescent="0.45">
      <c r="B27" s="35" t="s">
        <v>29</v>
      </c>
      <c r="C27" s="14" t="s">
        <v>41</v>
      </c>
      <c r="D27" s="36">
        <v>200</v>
      </c>
      <c r="E27" s="6">
        <v>16.66</v>
      </c>
      <c r="F27" s="6">
        <v>19.733333333333334</v>
      </c>
      <c r="G27" s="6">
        <v>48.986666666666665</v>
      </c>
      <c r="H27" s="6">
        <v>417.06666666666666</v>
      </c>
      <c r="I27" s="6">
        <v>9.3333333333333351E-2</v>
      </c>
      <c r="J27" s="6">
        <v>286.66666666666669</v>
      </c>
      <c r="K27" s="16">
        <v>20.906666666666666</v>
      </c>
      <c r="L27" s="16">
        <v>1.3733333333333333</v>
      </c>
    </row>
    <row r="28" spans="2:16" ht="27" customHeight="1" thickBot="1" x14ac:dyDescent="0.45">
      <c r="B28" s="9" t="s">
        <v>14</v>
      </c>
      <c r="C28" s="14" t="s">
        <v>42</v>
      </c>
      <c r="D28" s="36">
        <v>40</v>
      </c>
      <c r="E28" s="6">
        <v>3.04</v>
      </c>
      <c r="F28" s="6">
        <v>0.31999999999999995</v>
      </c>
      <c r="G28" s="6">
        <v>19.653333333333332</v>
      </c>
      <c r="H28" s="6">
        <v>94</v>
      </c>
      <c r="I28" s="6">
        <v>0</v>
      </c>
      <c r="J28" s="6">
        <v>9.1999999999999993</v>
      </c>
      <c r="K28" s="7">
        <v>13.2</v>
      </c>
      <c r="L28" s="7">
        <v>0.85333333333333328</v>
      </c>
    </row>
    <row r="29" spans="2:16" ht="28.5" customHeight="1" thickBot="1" x14ac:dyDescent="0.45">
      <c r="B29" s="9" t="s">
        <v>17</v>
      </c>
      <c r="C29" s="14" t="s">
        <v>66</v>
      </c>
      <c r="D29" s="36">
        <v>100</v>
      </c>
      <c r="E29" s="6">
        <v>0.4</v>
      </c>
      <c r="F29" s="6">
        <v>0.4</v>
      </c>
      <c r="G29" s="6">
        <v>9.8000000000000007</v>
      </c>
      <c r="H29" s="6">
        <v>47</v>
      </c>
      <c r="I29" s="6">
        <v>10</v>
      </c>
      <c r="J29" s="6">
        <v>16</v>
      </c>
      <c r="K29" s="7">
        <v>9</v>
      </c>
      <c r="L29" s="7">
        <v>2.2000000000000002</v>
      </c>
    </row>
    <row r="30" spans="2:16" ht="30.75" customHeight="1" thickBot="1" x14ac:dyDescent="0.45">
      <c r="B30" s="9" t="s">
        <v>95</v>
      </c>
      <c r="C30" s="19" t="s">
        <v>75</v>
      </c>
      <c r="D30" s="11">
        <v>200</v>
      </c>
      <c r="E30" s="12">
        <v>3.17</v>
      </c>
      <c r="F30" s="12">
        <v>2.68</v>
      </c>
      <c r="G30" s="12">
        <v>15.95</v>
      </c>
      <c r="H30" s="12">
        <v>100.6</v>
      </c>
      <c r="I30" s="12">
        <v>1.3</v>
      </c>
      <c r="J30" s="12">
        <v>125.78</v>
      </c>
      <c r="K30" s="13">
        <v>14</v>
      </c>
      <c r="L30" s="7">
        <v>0.13</v>
      </c>
    </row>
    <row r="31" spans="2:16" ht="31.5" customHeight="1" thickBot="1" x14ac:dyDescent="0.45">
      <c r="B31" s="136"/>
      <c r="C31" s="67" t="s">
        <v>28</v>
      </c>
      <c r="D31" s="68">
        <f t="shared" ref="D31:L31" si="3">SUM(D26:D30)</f>
        <v>640</v>
      </c>
      <c r="E31" s="69">
        <f t="shared" si="3"/>
        <v>23.97</v>
      </c>
      <c r="F31" s="69">
        <f t="shared" si="3"/>
        <v>23.233333333333334</v>
      </c>
      <c r="G31" s="69">
        <f t="shared" si="3"/>
        <v>96.289999999999992</v>
      </c>
      <c r="H31" s="69">
        <f t="shared" si="3"/>
        <v>669.66666666666663</v>
      </c>
      <c r="I31" s="69">
        <f t="shared" si="3"/>
        <v>21.393333333333334</v>
      </c>
      <c r="J31" s="69">
        <f t="shared" si="3"/>
        <v>460.64666666666665</v>
      </c>
      <c r="K31" s="69">
        <f t="shared" si="3"/>
        <v>71.106666666666669</v>
      </c>
      <c r="L31" s="64">
        <f t="shared" si="3"/>
        <v>5.456666666666667</v>
      </c>
    </row>
    <row r="32" spans="2:16" ht="27.75" customHeight="1" thickBot="1" x14ac:dyDescent="0.45">
      <c r="B32" s="29" t="s">
        <v>1</v>
      </c>
      <c r="C32" s="30"/>
      <c r="D32" s="31"/>
      <c r="E32" s="30"/>
      <c r="F32" s="30"/>
      <c r="G32" s="30"/>
      <c r="H32" s="30"/>
      <c r="I32" s="30"/>
      <c r="J32" s="30"/>
      <c r="K32" s="30"/>
      <c r="L32" s="32"/>
    </row>
    <row r="33" spans="2:12" ht="28.5" customHeight="1" thickBot="1" x14ac:dyDescent="0.45">
      <c r="B33" s="44" t="s">
        <v>78</v>
      </c>
      <c r="C33" s="45" t="s">
        <v>90</v>
      </c>
      <c r="D33" s="36">
        <v>100</v>
      </c>
      <c r="E33" s="33">
        <v>1.95</v>
      </c>
      <c r="F33" s="33">
        <v>8.4333333333333318</v>
      </c>
      <c r="G33" s="33">
        <v>11.566666666666666</v>
      </c>
      <c r="H33" s="33">
        <v>13.416666666666668</v>
      </c>
      <c r="I33" s="16">
        <v>14.6</v>
      </c>
      <c r="J33" s="46">
        <v>37.583333333333336</v>
      </c>
      <c r="K33" s="39">
        <v>25.166666666666668</v>
      </c>
      <c r="L33" s="16">
        <v>1.5</v>
      </c>
    </row>
    <row r="34" spans="2:12" ht="27" customHeight="1" thickBot="1" x14ac:dyDescent="0.45">
      <c r="B34" s="47" t="s">
        <v>15</v>
      </c>
      <c r="C34" s="14" t="s">
        <v>108</v>
      </c>
      <c r="D34" s="36">
        <v>260</v>
      </c>
      <c r="E34" s="6">
        <f>9.28*260/210</f>
        <v>11.489523809523808</v>
      </c>
      <c r="F34" s="6">
        <f>7.84*260/210</f>
        <v>9.7066666666666652</v>
      </c>
      <c r="G34" s="6">
        <f>15.42*265/210</f>
        <v>19.458571428571428</v>
      </c>
      <c r="H34" s="6">
        <f>165.48*265/210</f>
        <v>208.82</v>
      </c>
      <c r="I34" s="16">
        <f>9.2*265/210</f>
        <v>11.609523809523809</v>
      </c>
      <c r="J34" s="38">
        <f>49.25*265/210</f>
        <v>62.148809523809526</v>
      </c>
      <c r="K34" s="13">
        <f>30.61*265/210</f>
        <v>38.626904761904761</v>
      </c>
      <c r="L34" s="7">
        <f>2*265/210</f>
        <v>2.5238095238095237</v>
      </c>
    </row>
    <row r="35" spans="2:12" ht="29.25" customHeight="1" thickBot="1" x14ac:dyDescent="0.45">
      <c r="B35" s="9" t="s">
        <v>89</v>
      </c>
      <c r="C35" s="14" t="s">
        <v>88</v>
      </c>
      <c r="D35" s="36">
        <v>250</v>
      </c>
      <c r="E35" s="6">
        <f>4.73*250/210</f>
        <v>5.6309523809523814</v>
      </c>
      <c r="F35" s="6">
        <v>5.63</v>
      </c>
      <c r="G35" s="6">
        <f>30.08*250/210</f>
        <v>35.80952380952381</v>
      </c>
      <c r="H35" s="7">
        <f>272.58*250/210</f>
        <v>324.5</v>
      </c>
      <c r="I35" s="7">
        <f>10.4*250/210</f>
        <v>12.380952380952381</v>
      </c>
      <c r="J35" s="48">
        <f>198.25*250/210</f>
        <v>236.01190476190476</v>
      </c>
      <c r="K35" s="18">
        <f>18.06*250/210</f>
        <v>21.5</v>
      </c>
      <c r="L35" s="7">
        <f>1.02*250/210</f>
        <v>1.2142857142857142</v>
      </c>
    </row>
    <row r="36" spans="2:12" ht="27" customHeight="1" thickBot="1" x14ac:dyDescent="0.45">
      <c r="B36" s="35" t="s">
        <v>14</v>
      </c>
      <c r="C36" s="14" t="s">
        <v>42</v>
      </c>
      <c r="D36" s="36">
        <v>60</v>
      </c>
      <c r="E36" s="6">
        <v>4.5599999999999996</v>
      </c>
      <c r="F36" s="6">
        <v>0.47999999999999993</v>
      </c>
      <c r="G36" s="6">
        <v>29.479999999999997</v>
      </c>
      <c r="H36" s="6">
        <v>141</v>
      </c>
      <c r="I36" s="18">
        <v>0</v>
      </c>
      <c r="J36" s="26">
        <v>13.8</v>
      </c>
      <c r="K36" s="18">
        <v>19.8</v>
      </c>
      <c r="L36" s="18">
        <v>1.1466666666666667</v>
      </c>
    </row>
    <row r="37" spans="2:12" ht="27.75" customHeight="1" thickBot="1" x14ac:dyDescent="0.45">
      <c r="B37" s="9" t="s">
        <v>16</v>
      </c>
      <c r="C37" s="28" t="s">
        <v>43</v>
      </c>
      <c r="D37" s="15">
        <v>40</v>
      </c>
      <c r="E37" s="16">
        <v>2.64</v>
      </c>
      <c r="F37" s="16">
        <v>4.8</v>
      </c>
      <c r="G37" s="16">
        <v>13.36</v>
      </c>
      <c r="H37" s="6">
        <v>69.599999999999994</v>
      </c>
      <c r="I37" s="7">
        <v>0</v>
      </c>
      <c r="J37" s="17">
        <v>13.2</v>
      </c>
      <c r="K37" s="18">
        <v>22.8</v>
      </c>
      <c r="L37" s="7">
        <v>1.8079999999999998</v>
      </c>
    </row>
    <row r="38" spans="2:12" ht="27" customHeight="1" thickBot="1" x14ac:dyDescent="0.45">
      <c r="B38" s="9" t="s">
        <v>26</v>
      </c>
      <c r="C38" s="28" t="s">
        <v>76</v>
      </c>
      <c r="D38" s="15">
        <v>180</v>
      </c>
      <c r="E38" s="16">
        <v>1.04</v>
      </c>
      <c r="F38" s="16">
        <v>0.27</v>
      </c>
      <c r="G38" s="16">
        <v>42.53</v>
      </c>
      <c r="H38" s="6">
        <v>176.74</v>
      </c>
      <c r="I38" s="7">
        <v>0.72</v>
      </c>
      <c r="J38" s="17">
        <v>5.26</v>
      </c>
      <c r="K38" s="18">
        <v>30.03</v>
      </c>
      <c r="L38" s="7">
        <v>0.86</v>
      </c>
    </row>
    <row r="39" spans="2:12" ht="27" customHeight="1" thickBot="1" x14ac:dyDescent="0.45">
      <c r="B39" s="35" t="s">
        <v>17</v>
      </c>
      <c r="C39" s="28" t="s">
        <v>66</v>
      </c>
      <c r="D39" s="15">
        <v>100</v>
      </c>
      <c r="E39" s="16">
        <v>0.4</v>
      </c>
      <c r="F39" s="16">
        <v>0.4</v>
      </c>
      <c r="G39" s="16">
        <v>9.8000000000000007</v>
      </c>
      <c r="H39" s="6">
        <v>47</v>
      </c>
      <c r="I39" s="16">
        <v>10</v>
      </c>
      <c r="J39" s="38">
        <v>16</v>
      </c>
      <c r="K39" s="39">
        <v>9</v>
      </c>
      <c r="L39" s="16">
        <v>2.2000000000000002</v>
      </c>
    </row>
    <row r="40" spans="2:12" ht="35.25" customHeight="1" thickBot="1" x14ac:dyDescent="0.45">
      <c r="B40" s="37"/>
      <c r="C40" s="100" t="s">
        <v>2</v>
      </c>
      <c r="D40" s="101">
        <f>SUM(D33:D39)</f>
        <v>990</v>
      </c>
      <c r="E40" s="124">
        <f t="shared" ref="E40:L40" si="4">SUM(E33:E39)</f>
        <v>27.710476190476186</v>
      </c>
      <c r="F40" s="124">
        <f t="shared" si="4"/>
        <v>29.719999999999995</v>
      </c>
      <c r="G40" s="124">
        <f t="shared" si="4"/>
        <v>162.00476190476189</v>
      </c>
      <c r="H40" s="124">
        <f t="shared" si="4"/>
        <v>981.07666666666671</v>
      </c>
      <c r="I40" s="124">
        <f t="shared" si="4"/>
        <v>49.310476190476187</v>
      </c>
      <c r="J40" s="124">
        <f t="shared" si="4"/>
        <v>384.00404761904758</v>
      </c>
      <c r="K40" s="124">
        <f t="shared" si="4"/>
        <v>166.92357142857142</v>
      </c>
      <c r="L40" s="124">
        <f t="shared" si="4"/>
        <v>11.252761904761904</v>
      </c>
    </row>
    <row r="41" spans="2:12" ht="36.75" customHeight="1" thickBot="1" x14ac:dyDescent="0.45">
      <c r="B41" s="9"/>
      <c r="C41" s="67" t="s">
        <v>3</v>
      </c>
      <c r="D41" s="68">
        <f t="shared" ref="D41:L41" si="5">D40+D31</f>
        <v>1630</v>
      </c>
      <c r="E41" s="69">
        <f t="shared" si="5"/>
        <v>51.680476190476185</v>
      </c>
      <c r="F41" s="69">
        <f t="shared" si="5"/>
        <v>52.953333333333333</v>
      </c>
      <c r="G41" s="69">
        <f t="shared" si="5"/>
        <v>258.29476190476191</v>
      </c>
      <c r="H41" s="69">
        <f t="shared" si="5"/>
        <v>1650.7433333333333</v>
      </c>
      <c r="I41" s="69">
        <f t="shared" si="5"/>
        <v>70.703809523809525</v>
      </c>
      <c r="J41" s="69">
        <f t="shared" si="5"/>
        <v>844.65071428571423</v>
      </c>
      <c r="K41" s="69">
        <f t="shared" si="5"/>
        <v>238.03023809523808</v>
      </c>
      <c r="L41" s="64">
        <f t="shared" si="5"/>
        <v>16.709428571428571</v>
      </c>
    </row>
    <row r="42" spans="2:12" ht="37.5" customHeight="1" thickBot="1" x14ac:dyDescent="0.45">
      <c r="B42" s="2" t="s">
        <v>7</v>
      </c>
      <c r="C42" s="41"/>
      <c r="D42" s="41"/>
      <c r="E42" s="41"/>
      <c r="F42" s="41"/>
      <c r="G42" s="41"/>
      <c r="H42" s="41"/>
      <c r="I42" s="41"/>
      <c r="J42" s="41"/>
      <c r="K42" s="41"/>
      <c r="L42" s="42"/>
    </row>
    <row r="43" spans="2:12" ht="27" customHeight="1" thickBot="1" x14ac:dyDescent="0.45">
      <c r="B43" s="172" t="s">
        <v>4</v>
      </c>
      <c r="C43" s="166" t="s">
        <v>0</v>
      </c>
      <c r="D43" s="166" t="s">
        <v>31</v>
      </c>
      <c r="E43" s="163" t="s">
        <v>12</v>
      </c>
      <c r="F43" s="164"/>
      <c r="G43" s="164"/>
      <c r="H43" s="165"/>
      <c r="I43" s="168" t="s">
        <v>36</v>
      </c>
      <c r="J43" s="170" t="s">
        <v>37</v>
      </c>
      <c r="K43" s="170" t="s">
        <v>38</v>
      </c>
      <c r="L43" s="170" t="s">
        <v>40</v>
      </c>
    </row>
    <row r="44" spans="2:12" ht="45.75" customHeight="1" thickBot="1" x14ac:dyDescent="0.45">
      <c r="B44" s="173"/>
      <c r="C44" s="167"/>
      <c r="D44" s="167"/>
      <c r="E44" s="23" t="s">
        <v>32</v>
      </c>
      <c r="F44" s="23" t="s">
        <v>33</v>
      </c>
      <c r="G44" s="23" t="s">
        <v>34</v>
      </c>
      <c r="H44" s="23" t="s">
        <v>35</v>
      </c>
      <c r="I44" s="169"/>
      <c r="J44" s="171"/>
      <c r="K44" s="171"/>
      <c r="L44" s="171"/>
    </row>
    <row r="45" spans="2:12" ht="27" customHeight="1" thickBot="1" x14ac:dyDescent="0.45">
      <c r="B45" s="29" t="s">
        <v>27</v>
      </c>
      <c r="C45" s="30"/>
      <c r="D45" s="30"/>
      <c r="E45" s="30"/>
      <c r="F45" s="30"/>
      <c r="G45" s="30"/>
      <c r="H45" s="30"/>
      <c r="I45" s="30"/>
      <c r="J45" s="30"/>
      <c r="K45" s="30"/>
      <c r="L45" s="32"/>
    </row>
    <row r="46" spans="2:12" ht="29.25" customHeight="1" thickBot="1" x14ac:dyDescent="0.45">
      <c r="B46" s="3" t="s">
        <v>69</v>
      </c>
      <c r="C46" s="14" t="s">
        <v>81</v>
      </c>
      <c r="D46" s="36">
        <v>100</v>
      </c>
      <c r="E46" s="33">
        <v>0.7</v>
      </c>
      <c r="F46" s="33">
        <v>0.1</v>
      </c>
      <c r="G46" s="33">
        <v>1.8999999999999997</v>
      </c>
      <c r="H46" s="33">
        <v>11</v>
      </c>
      <c r="I46" s="16">
        <v>10</v>
      </c>
      <c r="J46" s="46">
        <v>23</v>
      </c>
      <c r="K46" s="18">
        <v>14</v>
      </c>
      <c r="L46" s="7">
        <v>0.9</v>
      </c>
    </row>
    <row r="47" spans="2:12" ht="30" customHeight="1" thickBot="1" x14ac:dyDescent="0.45">
      <c r="B47" s="9" t="s">
        <v>57</v>
      </c>
      <c r="C47" s="10" t="s">
        <v>80</v>
      </c>
      <c r="D47" s="11">
        <v>100</v>
      </c>
      <c r="E47" s="12">
        <v>8.51</v>
      </c>
      <c r="F47" s="12">
        <v>13.45</v>
      </c>
      <c r="G47" s="12">
        <v>9.0050000000000008</v>
      </c>
      <c r="H47" s="12">
        <v>185.69</v>
      </c>
      <c r="I47" s="12">
        <v>29.58</v>
      </c>
      <c r="J47" s="12">
        <v>18.45</v>
      </c>
      <c r="K47" s="13">
        <v>23.734999999999999</v>
      </c>
      <c r="L47" s="7">
        <v>1.24</v>
      </c>
    </row>
    <row r="48" spans="2:12" ht="30" customHeight="1" thickBot="1" x14ac:dyDescent="0.45">
      <c r="B48" s="9" t="s">
        <v>96</v>
      </c>
      <c r="C48" s="14" t="s">
        <v>74</v>
      </c>
      <c r="D48" s="11">
        <v>180</v>
      </c>
      <c r="E48" s="12">
        <f>3.25*180/150</f>
        <v>3.9</v>
      </c>
      <c r="F48" s="12">
        <f>2.88*180/150</f>
        <v>3.456</v>
      </c>
      <c r="G48" s="12">
        <f>28.99*180/150</f>
        <v>34.787999999999997</v>
      </c>
      <c r="H48" s="12">
        <f>189.56*180/150</f>
        <v>227.47200000000001</v>
      </c>
      <c r="I48" s="12">
        <f>25.95*180/150</f>
        <v>31.14</v>
      </c>
      <c r="J48" s="12">
        <f>145.59*180/150</f>
        <v>174.708</v>
      </c>
      <c r="K48" s="13">
        <f>32.99*180/150</f>
        <v>39.588000000000008</v>
      </c>
      <c r="L48" s="7">
        <f>1.22*180/150</f>
        <v>1.464</v>
      </c>
    </row>
    <row r="49" spans="2:12" ht="28.5" customHeight="1" thickBot="1" x14ac:dyDescent="0.45">
      <c r="B49" s="9" t="s">
        <v>14</v>
      </c>
      <c r="C49" s="28" t="s">
        <v>42</v>
      </c>
      <c r="D49" s="15">
        <v>40</v>
      </c>
      <c r="E49" s="16">
        <f>3.42*40/45</f>
        <v>3.04</v>
      </c>
      <c r="F49" s="16">
        <f>0.36*40/45</f>
        <v>0.31999999999999995</v>
      </c>
      <c r="G49" s="16">
        <f>22.11*40/45</f>
        <v>19.653333333333332</v>
      </c>
      <c r="H49" s="6">
        <f>105.75*40/45</f>
        <v>94</v>
      </c>
      <c r="I49" s="7">
        <v>0</v>
      </c>
      <c r="J49" s="17">
        <f>10.35*40/45</f>
        <v>9.1999999999999993</v>
      </c>
      <c r="K49" s="18">
        <f>14.85*40/45</f>
        <v>13.2</v>
      </c>
      <c r="L49" s="7">
        <f>0.96*40/45</f>
        <v>0.85333333333333328</v>
      </c>
    </row>
    <row r="50" spans="2:12" ht="30" customHeight="1" thickBot="1" x14ac:dyDescent="0.45">
      <c r="B50" s="9" t="s">
        <v>26</v>
      </c>
      <c r="C50" s="19" t="s">
        <v>76</v>
      </c>
      <c r="D50" s="11">
        <v>200</v>
      </c>
      <c r="E50" s="12">
        <v>1.1599999999999999</v>
      </c>
      <c r="F50" s="12">
        <v>0.3</v>
      </c>
      <c r="G50" s="12">
        <v>47.26</v>
      </c>
      <c r="H50" s="12">
        <v>196.38</v>
      </c>
      <c r="I50" s="12">
        <v>0.8</v>
      </c>
      <c r="J50" s="12">
        <v>5.84</v>
      </c>
      <c r="K50" s="13">
        <v>33</v>
      </c>
      <c r="L50" s="7">
        <v>0.96</v>
      </c>
    </row>
    <row r="51" spans="2:12" ht="31.5" customHeight="1" thickBot="1" x14ac:dyDescent="0.45">
      <c r="B51" s="137"/>
      <c r="C51" s="138" t="s">
        <v>28</v>
      </c>
      <c r="D51" s="139">
        <f t="shared" ref="D51:L51" si="6">SUM(D46:D50)</f>
        <v>620</v>
      </c>
      <c r="E51" s="64">
        <f t="shared" si="6"/>
        <v>17.309999999999999</v>
      </c>
      <c r="F51" s="64">
        <f t="shared" si="6"/>
        <v>17.626000000000001</v>
      </c>
      <c r="G51" s="64">
        <f t="shared" si="6"/>
        <v>112.60633333333334</v>
      </c>
      <c r="H51" s="64">
        <f t="shared" si="6"/>
        <v>714.54200000000003</v>
      </c>
      <c r="I51" s="64">
        <f t="shared" si="6"/>
        <v>71.52</v>
      </c>
      <c r="J51" s="64">
        <f t="shared" si="6"/>
        <v>231.19800000000001</v>
      </c>
      <c r="K51" s="64">
        <f t="shared" si="6"/>
        <v>123.52300000000001</v>
      </c>
      <c r="L51" s="64">
        <f t="shared" si="6"/>
        <v>5.4173333333333336</v>
      </c>
    </row>
    <row r="52" spans="2:12" ht="26.25" customHeight="1" thickBot="1" x14ac:dyDescent="0.45">
      <c r="B52" s="29" t="s">
        <v>1</v>
      </c>
      <c r="C52" s="30"/>
      <c r="D52" s="31"/>
      <c r="E52" s="30"/>
      <c r="F52" s="30"/>
      <c r="G52" s="30"/>
      <c r="H52" s="30"/>
      <c r="I52" s="30"/>
      <c r="J52" s="30"/>
      <c r="K52" s="30"/>
      <c r="L52" s="32"/>
    </row>
    <row r="53" spans="2:12" ht="29.25" customHeight="1" thickBot="1" x14ac:dyDescent="0.45">
      <c r="B53" s="35" t="s">
        <v>109</v>
      </c>
      <c r="C53" s="14" t="s">
        <v>110</v>
      </c>
      <c r="D53" s="36">
        <v>250</v>
      </c>
      <c r="E53" s="6">
        <v>5.47</v>
      </c>
      <c r="F53" s="6">
        <v>0.31</v>
      </c>
      <c r="G53" s="6">
        <v>17.95</v>
      </c>
      <c r="H53" s="6">
        <v>150</v>
      </c>
      <c r="I53" s="16">
        <v>0.82</v>
      </c>
      <c r="J53" s="38">
        <v>163</v>
      </c>
      <c r="K53" s="18">
        <v>26.67</v>
      </c>
      <c r="L53" s="7">
        <v>0.65</v>
      </c>
    </row>
    <row r="54" spans="2:12" ht="28.5" customHeight="1" thickBot="1" x14ac:dyDescent="0.45">
      <c r="B54" s="116" t="s">
        <v>111</v>
      </c>
      <c r="C54" s="117" t="s">
        <v>48</v>
      </c>
      <c r="D54" s="118">
        <v>250</v>
      </c>
      <c r="E54" s="119">
        <f>16.94*250/200</f>
        <v>21.175000000000001</v>
      </c>
      <c r="F54" s="119">
        <f>10.46*250/200</f>
        <v>13.074999999999999</v>
      </c>
      <c r="G54" s="119">
        <f>25.73*250/200</f>
        <v>32.162500000000001</v>
      </c>
      <c r="H54" s="120">
        <f>305.33*250/200</f>
        <v>381.66250000000002</v>
      </c>
      <c r="I54" s="120">
        <f>6.02*250/200</f>
        <v>7.5250000000000004</v>
      </c>
      <c r="J54" s="121">
        <f>46.25*250/200</f>
        <v>57.8125</v>
      </c>
      <c r="K54" s="122">
        <f>54.04*250/200</f>
        <v>67.55</v>
      </c>
      <c r="L54" s="120">
        <f>1.97*250/200</f>
        <v>2.4624999999999999</v>
      </c>
    </row>
    <row r="55" spans="2:12" ht="28.5" customHeight="1" thickBot="1" x14ac:dyDescent="0.45">
      <c r="B55" s="40" t="s">
        <v>14</v>
      </c>
      <c r="C55" s="117" t="s">
        <v>42</v>
      </c>
      <c r="D55" s="118">
        <v>60</v>
      </c>
      <c r="E55" s="119">
        <v>4.5599999999999996</v>
      </c>
      <c r="F55" s="119">
        <v>0.47999999999999993</v>
      </c>
      <c r="G55" s="119">
        <v>29.479999999999997</v>
      </c>
      <c r="H55" s="123">
        <v>141</v>
      </c>
      <c r="I55" s="120">
        <v>0</v>
      </c>
      <c r="J55" s="121">
        <v>13.8</v>
      </c>
      <c r="K55" s="122">
        <v>19.8</v>
      </c>
      <c r="L55" s="120">
        <v>1.1466666666666667</v>
      </c>
    </row>
    <row r="56" spans="2:12" ht="27.75" customHeight="1" thickBot="1" x14ac:dyDescent="0.45">
      <c r="B56" s="40" t="s">
        <v>16</v>
      </c>
      <c r="C56" s="117" t="s">
        <v>43</v>
      </c>
      <c r="D56" s="118">
        <v>40</v>
      </c>
      <c r="E56" s="119">
        <v>2.64</v>
      </c>
      <c r="F56" s="119">
        <v>4.8</v>
      </c>
      <c r="G56" s="119">
        <v>13.36</v>
      </c>
      <c r="H56" s="123">
        <v>69.599999999999994</v>
      </c>
      <c r="I56" s="120">
        <v>0</v>
      </c>
      <c r="J56" s="121">
        <v>13.2</v>
      </c>
      <c r="K56" s="122">
        <v>22.8</v>
      </c>
      <c r="L56" s="120">
        <v>1.8079999999999998</v>
      </c>
    </row>
    <row r="57" spans="2:12" ht="30" customHeight="1" thickBot="1" x14ac:dyDescent="0.45">
      <c r="B57" s="40" t="s">
        <v>86</v>
      </c>
      <c r="C57" s="117" t="s">
        <v>87</v>
      </c>
      <c r="D57" s="118">
        <v>200</v>
      </c>
      <c r="E57" s="119">
        <f>0.11*200/180</f>
        <v>0.12222222222222222</v>
      </c>
      <c r="F57" s="119">
        <v>0.12</v>
      </c>
      <c r="G57" s="119">
        <f>20.61*200/180</f>
        <v>22.9</v>
      </c>
      <c r="H57" s="123">
        <f>91.52*200/180</f>
        <v>101.68888888888888</v>
      </c>
      <c r="I57" s="120">
        <f>2.7*200/180</f>
        <v>3</v>
      </c>
      <c r="J57" s="121">
        <f>4.86*200/180</f>
        <v>5.4</v>
      </c>
      <c r="K57" s="122">
        <f>2.43*200/180</f>
        <v>2.7</v>
      </c>
      <c r="L57" s="120">
        <f>0.65*200/180</f>
        <v>0.72222222222222221</v>
      </c>
    </row>
    <row r="58" spans="2:12" ht="30.75" customHeight="1" thickBot="1" x14ac:dyDescent="0.45">
      <c r="B58" s="72"/>
      <c r="C58" s="61" t="s">
        <v>2</v>
      </c>
      <c r="D58" s="62">
        <f t="shared" ref="D58:L58" si="7">SUM(D53:D57)</f>
        <v>800</v>
      </c>
      <c r="E58" s="69">
        <f t="shared" si="7"/>
        <v>33.967222222222219</v>
      </c>
      <c r="F58" s="69">
        <f t="shared" si="7"/>
        <v>18.785</v>
      </c>
      <c r="G58" s="69">
        <f t="shared" si="7"/>
        <v>115.85249999999999</v>
      </c>
      <c r="H58" s="69">
        <f t="shared" si="7"/>
        <v>843.95138888888891</v>
      </c>
      <c r="I58" s="64">
        <f t="shared" si="7"/>
        <v>11.345000000000001</v>
      </c>
      <c r="J58" s="96">
        <f t="shared" si="7"/>
        <v>253.21250000000001</v>
      </c>
      <c r="K58" s="64">
        <f t="shared" si="7"/>
        <v>139.51999999999998</v>
      </c>
      <c r="L58" s="64">
        <f t="shared" si="7"/>
        <v>6.7893888888888885</v>
      </c>
    </row>
    <row r="59" spans="2:12" ht="32.25" customHeight="1" thickBot="1" x14ac:dyDescent="0.45">
      <c r="B59" s="40"/>
      <c r="C59" s="67" t="s">
        <v>3</v>
      </c>
      <c r="D59" s="68">
        <f t="shared" ref="D59:L59" si="8">D58+D51</f>
        <v>1420</v>
      </c>
      <c r="E59" s="69">
        <f t="shared" si="8"/>
        <v>51.277222222222221</v>
      </c>
      <c r="F59" s="69">
        <f t="shared" si="8"/>
        <v>36.411000000000001</v>
      </c>
      <c r="G59" s="69">
        <f t="shared" si="8"/>
        <v>228.45883333333333</v>
      </c>
      <c r="H59" s="69">
        <f t="shared" si="8"/>
        <v>1558.4933888888891</v>
      </c>
      <c r="I59" s="69">
        <f t="shared" si="8"/>
        <v>82.864999999999995</v>
      </c>
      <c r="J59" s="69">
        <f t="shared" si="8"/>
        <v>484.41050000000001</v>
      </c>
      <c r="K59" s="69">
        <f t="shared" si="8"/>
        <v>263.04300000000001</v>
      </c>
      <c r="L59" s="64">
        <f t="shared" si="8"/>
        <v>12.206722222222222</v>
      </c>
    </row>
    <row r="60" spans="2:12" ht="38.25" customHeight="1" thickBot="1" x14ac:dyDescent="0.45">
      <c r="B60" s="2" t="s">
        <v>8</v>
      </c>
      <c r="C60" s="41"/>
      <c r="D60" s="41"/>
      <c r="E60" s="41"/>
      <c r="F60" s="41"/>
      <c r="G60" s="41"/>
      <c r="H60" s="41"/>
      <c r="I60" s="41"/>
      <c r="J60" s="41"/>
      <c r="K60" s="41"/>
      <c r="L60" s="42"/>
    </row>
    <row r="61" spans="2:12" ht="22.5" customHeight="1" thickBot="1" x14ac:dyDescent="0.45">
      <c r="B61" s="172" t="s">
        <v>4</v>
      </c>
      <c r="C61" s="166" t="s">
        <v>0</v>
      </c>
      <c r="D61" s="166" t="s">
        <v>31</v>
      </c>
      <c r="E61" s="163" t="s">
        <v>12</v>
      </c>
      <c r="F61" s="164"/>
      <c r="G61" s="164"/>
      <c r="H61" s="165"/>
      <c r="I61" s="168" t="s">
        <v>36</v>
      </c>
      <c r="J61" s="170" t="s">
        <v>37</v>
      </c>
      <c r="K61" s="170" t="s">
        <v>38</v>
      </c>
      <c r="L61" s="170" t="s">
        <v>40</v>
      </c>
    </row>
    <row r="62" spans="2:12" ht="43.5" customHeight="1" thickBot="1" x14ac:dyDescent="0.45">
      <c r="B62" s="173"/>
      <c r="C62" s="167"/>
      <c r="D62" s="167"/>
      <c r="E62" s="23" t="s">
        <v>32</v>
      </c>
      <c r="F62" s="23" t="s">
        <v>33</v>
      </c>
      <c r="G62" s="23" t="s">
        <v>34</v>
      </c>
      <c r="H62" s="23" t="s">
        <v>35</v>
      </c>
      <c r="I62" s="169"/>
      <c r="J62" s="171"/>
      <c r="K62" s="171"/>
      <c r="L62" s="171"/>
    </row>
    <row r="63" spans="2:12" ht="26.25" customHeight="1" thickBot="1" x14ac:dyDescent="0.45">
      <c r="B63" s="29" t="s">
        <v>27</v>
      </c>
      <c r="C63" s="30"/>
      <c r="D63" s="30"/>
      <c r="E63" s="30"/>
      <c r="F63" s="30"/>
      <c r="G63" s="30"/>
      <c r="H63" s="30"/>
      <c r="I63" s="30"/>
      <c r="J63" s="30"/>
      <c r="K63" s="51"/>
      <c r="L63" s="52"/>
    </row>
    <row r="64" spans="2:12" ht="28.5" customHeight="1" thickBot="1" x14ac:dyDescent="0.45">
      <c r="B64" s="3" t="s">
        <v>69</v>
      </c>
      <c r="C64" s="4" t="s">
        <v>81</v>
      </c>
      <c r="D64" s="5">
        <v>100</v>
      </c>
      <c r="E64" s="6">
        <v>0.7</v>
      </c>
      <c r="F64" s="6">
        <v>0.1</v>
      </c>
      <c r="G64" s="6">
        <v>1.8999999999999997</v>
      </c>
      <c r="H64" s="6">
        <v>11</v>
      </c>
      <c r="I64" s="6">
        <v>10</v>
      </c>
      <c r="J64" s="7">
        <v>23</v>
      </c>
      <c r="K64" s="8">
        <v>14</v>
      </c>
      <c r="L64" s="7">
        <v>0.9</v>
      </c>
    </row>
    <row r="65" spans="2:12" ht="26.25" customHeight="1" thickBot="1" x14ac:dyDescent="0.45">
      <c r="B65" s="9" t="s">
        <v>82</v>
      </c>
      <c r="C65" s="14" t="s">
        <v>83</v>
      </c>
      <c r="D65" s="36">
        <v>150</v>
      </c>
      <c r="E65" s="12">
        <v>18.847058823529412</v>
      </c>
      <c r="F65" s="12">
        <v>21.441176470588236</v>
      </c>
      <c r="G65" s="12">
        <v>6.93</v>
      </c>
      <c r="H65" s="12">
        <v>280.58823529411762</v>
      </c>
      <c r="I65" s="12">
        <v>0.63529411764705879</v>
      </c>
      <c r="J65" s="12">
        <v>110.11764705882354</v>
      </c>
      <c r="K65" s="13">
        <v>28.588235294117649</v>
      </c>
      <c r="L65" s="7">
        <v>3.0176470588235293</v>
      </c>
    </row>
    <row r="66" spans="2:12" ht="29.25" customHeight="1" thickBot="1" x14ac:dyDescent="0.45">
      <c r="B66" s="9" t="s">
        <v>14</v>
      </c>
      <c r="C66" s="10" t="s">
        <v>42</v>
      </c>
      <c r="D66" s="36">
        <v>50</v>
      </c>
      <c r="E66" s="6">
        <v>3.8</v>
      </c>
      <c r="F66" s="6">
        <v>0.4</v>
      </c>
      <c r="G66" s="7">
        <v>24.6</v>
      </c>
      <c r="H66" s="6">
        <v>117.5</v>
      </c>
      <c r="I66" s="7">
        <v>0</v>
      </c>
      <c r="J66" s="17">
        <v>11.5</v>
      </c>
      <c r="K66" s="18">
        <v>16.5</v>
      </c>
      <c r="L66" s="7">
        <v>0.95</v>
      </c>
    </row>
    <row r="67" spans="2:12" ht="30" customHeight="1" thickBot="1" x14ac:dyDescent="0.45">
      <c r="B67" s="9" t="s">
        <v>16</v>
      </c>
      <c r="C67" s="14" t="s">
        <v>43</v>
      </c>
      <c r="D67" s="36">
        <v>50</v>
      </c>
      <c r="E67" s="7">
        <v>3.3</v>
      </c>
      <c r="F67" s="7">
        <v>0.6</v>
      </c>
      <c r="G67" s="105">
        <v>16.7</v>
      </c>
      <c r="H67" s="7">
        <v>87</v>
      </c>
      <c r="I67" s="105">
        <v>0</v>
      </c>
      <c r="J67" s="106">
        <v>16.5</v>
      </c>
      <c r="K67" s="107">
        <v>28.5</v>
      </c>
      <c r="L67" s="107">
        <v>2.25</v>
      </c>
    </row>
    <row r="68" spans="2:12" ht="30" customHeight="1" thickBot="1" x14ac:dyDescent="0.45">
      <c r="B68" s="9" t="s">
        <v>55</v>
      </c>
      <c r="C68" s="14" t="s">
        <v>56</v>
      </c>
      <c r="D68" s="36">
        <v>200</v>
      </c>
      <c r="E68" s="12">
        <v>1</v>
      </c>
      <c r="F68" s="12">
        <v>0.2</v>
      </c>
      <c r="G68" s="12">
        <v>20.2</v>
      </c>
      <c r="H68" s="12">
        <v>92</v>
      </c>
      <c r="I68" s="12">
        <v>4</v>
      </c>
      <c r="J68" s="12">
        <v>14</v>
      </c>
      <c r="K68" s="7">
        <v>8</v>
      </c>
      <c r="L68" s="7">
        <v>2.8</v>
      </c>
    </row>
    <row r="69" spans="2:12" ht="32.25" customHeight="1" thickBot="1" x14ac:dyDescent="0.45">
      <c r="B69" s="29"/>
      <c r="C69" s="140" t="s">
        <v>28</v>
      </c>
      <c r="D69" s="99">
        <f t="shared" ref="D69:L69" si="9">SUM(D64:D68)</f>
        <v>550</v>
      </c>
      <c r="E69" s="131">
        <f t="shared" si="9"/>
        <v>27.647058823529413</v>
      </c>
      <c r="F69" s="131">
        <f t="shared" si="9"/>
        <v>22.741176470588236</v>
      </c>
      <c r="G69" s="131">
        <f t="shared" si="9"/>
        <v>70.33</v>
      </c>
      <c r="H69" s="131">
        <f t="shared" si="9"/>
        <v>588.08823529411757</v>
      </c>
      <c r="I69" s="131">
        <f t="shared" si="9"/>
        <v>14.635294117647058</v>
      </c>
      <c r="J69" s="131">
        <f t="shared" si="9"/>
        <v>175.11764705882354</v>
      </c>
      <c r="K69" s="131">
        <f t="shared" si="9"/>
        <v>95.588235294117652</v>
      </c>
      <c r="L69" s="131">
        <f t="shared" si="9"/>
        <v>9.9176470588235297</v>
      </c>
    </row>
    <row r="70" spans="2:12" ht="25.5" customHeight="1" thickBot="1" x14ac:dyDescent="0.45">
      <c r="B70" s="53" t="s">
        <v>1</v>
      </c>
      <c r="C70" s="30"/>
      <c r="D70" s="54"/>
      <c r="E70" s="55"/>
      <c r="F70" s="55"/>
      <c r="G70" s="55"/>
      <c r="H70" s="55"/>
      <c r="I70" s="55"/>
      <c r="J70" s="55"/>
      <c r="K70" s="56"/>
      <c r="L70" s="57"/>
    </row>
    <row r="71" spans="2:12" ht="27" customHeight="1" thickBot="1" x14ac:dyDescent="0.45">
      <c r="B71" s="3" t="s">
        <v>69</v>
      </c>
      <c r="C71" s="4" t="s">
        <v>81</v>
      </c>
      <c r="D71" s="5">
        <v>100</v>
      </c>
      <c r="E71" s="6">
        <v>0.7</v>
      </c>
      <c r="F71" s="6">
        <v>0.1</v>
      </c>
      <c r="G71" s="6">
        <v>1.8999999999999997</v>
      </c>
      <c r="H71" s="6">
        <v>11</v>
      </c>
      <c r="I71" s="6">
        <v>10</v>
      </c>
      <c r="J71" s="7">
        <v>23</v>
      </c>
      <c r="K71" s="8">
        <v>14</v>
      </c>
      <c r="L71" s="7">
        <v>0.9</v>
      </c>
    </row>
    <row r="72" spans="2:12" ht="27" customHeight="1" thickBot="1" x14ac:dyDescent="0.45">
      <c r="B72" s="58" t="s">
        <v>112</v>
      </c>
      <c r="C72" s="14" t="s">
        <v>113</v>
      </c>
      <c r="D72" s="36">
        <v>250</v>
      </c>
      <c r="E72" s="126">
        <f>2.45*252/200</f>
        <v>3.0870000000000006</v>
      </c>
      <c r="F72" s="126">
        <f>2.8*2502/200</f>
        <v>35.027999999999999</v>
      </c>
      <c r="G72" s="126">
        <f>28.81*2502/200</f>
        <v>360.41309999999999</v>
      </c>
      <c r="H72" s="126">
        <f>143.75*250/200</f>
        <v>179.6875</v>
      </c>
      <c r="I72" s="125">
        <f>80*252/200</f>
        <v>100.8</v>
      </c>
      <c r="J72" s="127">
        <f>128.79*250/200</f>
        <v>160.98749999999998</v>
      </c>
      <c r="K72" s="128">
        <f>51.6*250/200</f>
        <v>64.5</v>
      </c>
      <c r="L72" s="129">
        <f>1.24*250/200</f>
        <v>1.55</v>
      </c>
    </row>
    <row r="73" spans="2:12" ht="27.75" customHeight="1" thickBot="1" x14ac:dyDescent="0.45">
      <c r="B73" s="37" t="s">
        <v>99</v>
      </c>
      <c r="C73" s="28" t="s">
        <v>98</v>
      </c>
      <c r="D73" s="15">
        <v>100</v>
      </c>
      <c r="E73" s="125">
        <v>17.3</v>
      </c>
      <c r="F73" s="16">
        <v>13.58</v>
      </c>
      <c r="G73" s="16">
        <v>11.8</v>
      </c>
      <c r="H73" s="16">
        <v>222</v>
      </c>
      <c r="I73" s="16">
        <v>8.1</v>
      </c>
      <c r="J73" s="46">
        <v>14</v>
      </c>
      <c r="K73" s="13">
        <v>20</v>
      </c>
      <c r="L73" s="7">
        <v>5.7</v>
      </c>
    </row>
    <row r="74" spans="2:12" ht="27.75" customHeight="1" thickBot="1" x14ac:dyDescent="0.45">
      <c r="B74" s="35" t="s">
        <v>96</v>
      </c>
      <c r="C74" s="14" t="s">
        <v>74</v>
      </c>
      <c r="D74" s="36">
        <v>180</v>
      </c>
      <c r="E74" s="6">
        <v>3.9</v>
      </c>
      <c r="F74" s="6">
        <v>3.456</v>
      </c>
      <c r="G74" s="6">
        <v>34.787999999999997</v>
      </c>
      <c r="H74" s="6">
        <v>227.47200000000001</v>
      </c>
      <c r="I74" s="16">
        <v>31.14</v>
      </c>
      <c r="J74" s="38">
        <v>174.708</v>
      </c>
      <c r="K74" s="109">
        <v>39.588000000000008</v>
      </c>
      <c r="L74" s="16">
        <v>1.464</v>
      </c>
    </row>
    <row r="75" spans="2:12" ht="27.75" customHeight="1" thickBot="1" x14ac:dyDescent="0.45">
      <c r="B75" s="35" t="s">
        <v>14</v>
      </c>
      <c r="C75" s="14" t="s">
        <v>42</v>
      </c>
      <c r="D75" s="36">
        <v>60</v>
      </c>
      <c r="E75" s="6">
        <v>4.5599999999999996</v>
      </c>
      <c r="F75" s="6">
        <v>0.47999999999999993</v>
      </c>
      <c r="G75" s="6">
        <v>29.479999999999997</v>
      </c>
      <c r="H75" s="6">
        <v>141</v>
      </c>
      <c r="I75" s="16">
        <v>0</v>
      </c>
      <c r="J75" s="38">
        <v>13.8</v>
      </c>
      <c r="K75" s="39">
        <v>19.8</v>
      </c>
      <c r="L75" s="16">
        <v>1.1466666666666667</v>
      </c>
    </row>
    <row r="76" spans="2:12" ht="27.75" customHeight="1" thickBot="1" x14ac:dyDescent="0.45">
      <c r="B76" s="9" t="s">
        <v>16</v>
      </c>
      <c r="C76" s="28" t="s">
        <v>43</v>
      </c>
      <c r="D76" s="15">
        <v>40</v>
      </c>
      <c r="E76" s="16">
        <v>2.64</v>
      </c>
      <c r="F76" s="16">
        <v>4.8</v>
      </c>
      <c r="G76" s="16">
        <v>13.36</v>
      </c>
      <c r="H76" s="6">
        <v>69.599999999999994</v>
      </c>
      <c r="I76" s="7">
        <v>0</v>
      </c>
      <c r="J76" s="17">
        <v>13.2</v>
      </c>
      <c r="K76" s="18">
        <v>22.8</v>
      </c>
      <c r="L76" s="7">
        <v>1.8079999999999998</v>
      </c>
    </row>
    <row r="77" spans="2:12" ht="28.5" customHeight="1" thickBot="1" x14ac:dyDescent="0.45">
      <c r="B77" s="35" t="s">
        <v>26</v>
      </c>
      <c r="C77" s="14" t="s">
        <v>76</v>
      </c>
      <c r="D77" s="36">
        <v>180</v>
      </c>
      <c r="E77" s="6">
        <v>1.04</v>
      </c>
      <c r="F77" s="6">
        <v>0.27</v>
      </c>
      <c r="G77" s="6">
        <v>42.53</v>
      </c>
      <c r="H77" s="6">
        <v>176.74</v>
      </c>
      <c r="I77" s="18">
        <v>0.72</v>
      </c>
      <c r="J77" s="26">
        <v>5.26</v>
      </c>
      <c r="K77" s="18">
        <v>30.03</v>
      </c>
      <c r="L77" s="18">
        <v>0.86</v>
      </c>
    </row>
    <row r="78" spans="2:12" ht="28.5" customHeight="1" thickBot="1" x14ac:dyDescent="0.45">
      <c r="B78" s="35" t="s">
        <v>17</v>
      </c>
      <c r="C78" s="14" t="s">
        <v>66</v>
      </c>
      <c r="D78" s="36">
        <v>100</v>
      </c>
      <c r="E78" s="6">
        <v>0.4</v>
      </c>
      <c r="F78" s="6">
        <v>0.4</v>
      </c>
      <c r="G78" s="6">
        <v>9.8000000000000007</v>
      </c>
      <c r="H78" s="6">
        <v>47</v>
      </c>
      <c r="I78" s="18">
        <v>10</v>
      </c>
      <c r="J78" s="8">
        <v>16</v>
      </c>
      <c r="K78" s="39">
        <v>9</v>
      </c>
      <c r="L78" s="34">
        <v>2.2000000000000002</v>
      </c>
    </row>
    <row r="79" spans="2:12" ht="32.25" customHeight="1" thickBot="1" x14ac:dyDescent="0.45">
      <c r="B79" s="37"/>
      <c r="C79" s="100" t="s">
        <v>2</v>
      </c>
      <c r="D79" s="101">
        <f>SUM(D71:D78)</f>
        <v>1010</v>
      </c>
      <c r="E79" s="66">
        <f>SUM(E71:E78)</f>
        <v>33.626999999999995</v>
      </c>
      <c r="F79" s="66">
        <f t="shared" ref="F79:L79" si="10">SUM(F71:F78)</f>
        <v>58.113999999999997</v>
      </c>
      <c r="G79" s="66">
        <f t="shared" si="10"/>
        <v>504.07110000000006</v>
      </c>
      <c r="H79" s="66">
        <f t="shared" si="10"/>
        <v>1074.4994999999999</v>
      </c>
      <c r="I79" s="66">
        <f t="shared" si="10"/>
        <v>160.76</v>
      </c>
      <c r="J79" s="66">
        <f t="shared" si="10"/>
        <v>420.95549999999997</v>
      </c>
      <c r="K79" s="66">
        <f t="shared" si="10"/>
        <v>219.71800000000005</v>
      </c>
      <c r="L79" s="66">
        <f t="shared" si="10"/>
        <v>15.628666666666668</v>
      </c>
    </row>
    <row r="80" spans="2:12" ht="32.25" customHeight="1" thickBot="1" x14ac:dyDescent="0.45">
      <c r="B80" s="9"/>
      <c r="C80" s="67" t="s">
        <v>3</v>
      </c>
      <c r="D80" s="68">
        <f t="shared" ref="D80:L80" si="11">D79+D69</f>
        <v>1560</v>
      </c>
      <c r="E80" s="69">
        <f t="shared" si="11"/>
        <v>61.274058823529408</v>
      </c>
      <c r="F80" s="69">
        <f t="shared" si="11"/>
        <v>80.855176470588233</v>
      </c>
      <c r="G80" s="69">
        <f t="shared" si="11"/>
        <v>574.40110000000004</v>
      </c>
      <c r="H80" s="69">
        <f t="shared" si="11"/>
        <v>1662.5877352941175</v>
      </c>
      <c r="I80" s="69">
        <f t="shared" si="11"/>
        <v>175.39529411764704</v>
      </c>
      <c r="J80" s="69">
        <f t="shared" si="11"/>
        <v>596.07314705882345</v>
      </c>
      <c r="K80" s="69">
        <f t="shared" si="11"/>
        <v>315.3062352941177</v>
      </c>
      <c r="L80" s="64">
        <f t="shared" si="11"/>
        <v>25.546313725490197</v>
      </c>
    </row>
    <row r="81" spans="2:12" ht="37.950000000000003" customHeight="1" thickBot="1" x14ac:dyDescent="0.45">
      <c r="B81" s="2" t="s">
        <v>9</v>
      </c>
      <c r="C81" s="41"/>
      <c r="D81" s="41"/>
      <c r="E81" s="41"/>
      <c r="F81" s="41"/>
      <c r="G81" s="41"/>
      <c r="H81" s="41"/>
      <c r="I81" s="41"/>
      <c r="J81" s="41"/>
      <c r="K81" s="41"/>
      <c r="L81" s="42"/>
    </row>
    <row r="82" spans="2:12" ht="24.75" customHeight="1" thickBot="1" x14ac:dyDescent="0.45">
      <c r="B82" s="172" t="s">
        <v>4</v>
      </c>
      <c r="C82" s="166" t="s">
        <v>0</v>
      </c>
      <c r="D82" s="166" t="s">
        <v>31</v>
      </c>
      <c r="E82" s="163" t="s">
        <v>12</v>
      </c>
      <c r="F82" s="164"/>
      <c r="G82" s="164"/>
      <c r="H82" s="165"/>
      <c r="I82" s="168" t="s">
        <v>36</v>
      </c>
      <c r="J82" s="170" t="s">
        <v>37</v>
      </c>
      <c r="K82" s="170" t="s">
        <v>38</v>
      </c>
      <c r="L82" s="170" t="s">
        <v>40</v>
      </c>
    </row>
    <row r="83" spans="2:12" ht="45.75" customHeight="1" thickBot="1" x14ac:dyDescent="0.45">
      <c r="B83" s="173"/>
      <c r="C83" s="167"/>
      <c r="D83" s="167"/>
      <c r="E83" s="23" t="s">
        <v>32</v>
      </c>
      <c r="F83" s="23" t="s">
        <v>33</v>
      </c>
      <c r="G83" s="23" t="s">
        <v>34</v>
      </c>
      <c r="H83" s="23" t="s">
        <v>35</v>
      </c>
      <c r="I83" s="169"/>
      <c r="J83" s="171"/>
      <c r="K83" s="171"/>
      <c r="L83" s="171"/>
    </row>
    <row r="84" spans="2:12" ht="25.5" customHeight="1" thickBot="1" x14ac:dyDescent="0.45">
      <c r="B84" s="29" t="s">
        <v>27</v>
      </c>
      <c r="C84" s="30"/>
      <c r="D84" s="30"/>
      <c r="E84" s="30"/>
      <c r="F84" s="30"/>
      <c r="G84" s="30"/>
      <c r="H84" s="30"/>
      <c r="I84" s="30"/>
      <c r="J84" s="30"/>
      <c r="K84" s="30"/>
      <c r="L84" s="32"/>
    </row>
    <row r="85" spans="2:12" ht="27.75" customHeight="1" thickBot="1" x14ac:dyDescent="0.45">
      <c r="B85" s="35" t="s">
        <v>67</v>
      </c>
      <c r="C85" s="4" t="s">
        <v>44</v>
      </c>
      <c r="D85" s="5">
        <v>270</v>
      </c>
      <c r="E85" s="6">
        <f>15.8*270/250</f>
        <v>17.064</v>
      </c>
      <c r="F85" s="6">
        <f>11.8*270/250</f>
        <v>12.744</v>
      </c>
      <c r="G85" s="6">
        <f>43.56*270/250</f>
        <v>47.044800000000002</v>
      </c>
      <c r="H85" s="6">
        <f>315.29*270/250</f>
        <v>340.51319999999998</v>
      </c>
      <c r="I85" s="6">
        <f>1.62*270/250</f>
        <v>1.7496</v>
      </c>
      <c r="J85" s="6">
        <f>158.62*270/250</f>
        <v>171.30960000000002</v>
      </c>
      <c r="K85" s="39">
        <f>45.44*270/250</f>
        <v>49.075199999999995</v>
      </c>
      <c r="L85" s="16">
        <f>0.73*270/250</f>
        <v>0.78839999999999999</v>
      </c>
    </row>
    <row r="86" spans="2:12" ht="26.25" customHeight="1" thickBot="1" x14ac:dyDescent="0.45">
      <c r="B86" s="9" t="s">
        <v>19</v>
      </c>
      <c r="C86" s="10" t="s">
        <v>52</v>
      </c>
      <c r="D86" s="11">
        <v>10</v>
      </c>
      <c r="E86" s="12">
        <v>0.05</v>
      </c>
      <c r="F86" s="12">
        <v>8.25</v>
      </c>
      <c r="G86" s="12">
        <v>0.08</v>
      </c>
      <c r="H86" s="12">
        <v>74.8</v>
      </c>
      <c r="I86" s="12">
        <v>0</v>
      </c>
      <c r="J86" s="12">
        <v>2.4</v>
      </c>
      <c r="K86" s="13">
        <v>0.05</v>
      </c>
      <c r="L86" s="7">
        <v>0.02</v>
      </c>
    </row>
    <row r="87" spans="2:12" ht="27" customHeight="1" thickBot="1" x14ac:dyDescent="0.45">
      <c r="B87" s="9" t="s">
        <v>65</v>
      </c>
      <c r="C87" s="14" t="s">
        <v>97</v>
      </c>
      <c r="D87" s="11">
        <v>40</v>
      </c>
      <c r="E87" s="6">
        <f>7.7*40/100</f>
        <v>3.08</v>
      </c>
      <c r="F87" s="6">
        <f>3*40/100</f>
        <v>1.2</v>
      </c>
      <c r="G87" s="6">
        <f>50.1*40/100</f>
        <v>20.04</v>
      </c>
      <c r="H87" s="6">
        <f>259*40/100</f>
        <v>103.6</v>
      </c>
      <c r="I87" s="6">
        <v>0</v>
      </c>
      <c r="J87" s="6">
        <f>22*40/100</f>
        <v>8.8000000000000007</v>
      </c>
      <c r="K87" s="18">
        <f>33*40/100</f>
        <v>13.2</v>
      </c>
      <c r="L87" s="7">
        <f>2*40/100</f>
        <v>0.8</v>
      </c>
    </row>
    <row r="88" spans="2:12" ht="27" customHeight="1" thickBot="1" x14ac:dyDescent="0.45">
      <c r="B88" s="9" t="s">
        <v>16</v>
      </c>
      <c r="C88" s="14" t="s">
        <v>43</v>
      </c>
      <c r="D88" s="11">
        <v>40</v>
      </c>
      <c r="E88" s="6">
        <v>2.64</v>
      </c>
      <c r="F88" s="6">
        <v>4.8</v>
      </c>
      <c r="G88" s="6">
        <v>13.36</v>
      </c>
      <c r="H88" s="6">
        <v>69.599999999999994</v>
      </c>
      <c r="I88" s="6">
        <v>0</v>
      </c>
      <c r="J88" s="6">
        <v>13.2</v>
      </c>
      <c r="K88" s="18">
        <v>22.8</v>
      </c>
      <c r="L88" s="7">
        <v>1.8079999999999998</v>
      </c>
    </row>
    <row r="89" spans="2:12" ht="27.75" customHeight="1" thickBot="1" x14ac:dyDescent="0.45">
      <c r="B89" s="153" t="s">
        <v>13</v>
      </c>
      <c r="C89" s="154" t="s">
        <v>45</v>
      </c>
      <c r="D89" s="155">
        <v>200</v>
      </c>
      <c r="E89" s="156">
        <v>0</v>
      </c>
      <c r="F89" s="156">
        <v>0</v>
      </c>
      <c r="G89" s="156">
        <v>6.9860000000000007</v>
      </c>
      <c r="H89" s="156">
        <v>27.93</v>
      </c>
      <c r="I89" s="156">
        <v>0.05</v>
      </c>
      <c r="J89" s="156">
        <v>2.69</v>
      </c>
      <c r="K89" s="18">
        <v>2.2000000000000002</v>
      </c>
      <c r="L89" s="157">
        <v>0.43</v>
      </c>
    </row>
    <row r="90" spans="2:12" ht="30" customHeight="1" thickBot="1" x14ac:dyDescent="0.45">
      <c r="B90" s="141"/>
      <c r="C90" s="140" t="s">
        <v>28</v>
      </c>
      <c r="D90" s="99">
        <f t="shared" ref="D90:L90" si="12">SUM(D85:D89)</f>
        <v>560</v>
      </c>
      <c r="E90" s="131">
        <f t="shared" si="12"/>
        <v>22.834000000000003</v>
      </c>
      <c r="F90" s="131">
        <f t="shared" si="12"/>
        <v>26.994</v>
      </c>
      <c r="G90" s="131">
        <f t="shared" si="12"/>
        <v>87.510800000000003</v>
      </c>
      <c r="H90" s="131">
        <f t="shared" si="12"/>
        <v>616.44319999999993</v>
      </c>
      <c r="I90" s="131">
        <f t="shared" si="12"/>
        <v>1.7996000000000001</v>
      </c>
      <c r="J90" s="131">
        <f t="shared" si="12"/>
        <v>198.39960000000002</v>
      </c>
      <c r="K90" s="131">
        <f t="shared" si="12"/>
        <v>87.325199999999995</v>
      </c>
      <c r="L90" s="131">
        <f t="shared" si="12"/>
        <v>3.8464</v>
      </c>
    </row>
    <row r="91" spans="2:12" ht="25.5" customHeight="1" thickBot="1" x14ac:dyDescent="0.45">
      <c r="B91" s="29" t="s">
        <v>1</v>
      </c>
      <c r="C91" s="30"/>
      <c r="D91" s="31"/>
      <c r="E91" s="30"/>
      <c r="F91" s="30"/>
      <c r="G91" s="30"/>
      <c r="H91" s="30"/>
      <c r="I91" s="30"/>
      <c r="J91" s="30"/>
      <c r="K91" s="30"/>
      <c r="L91" s="32"/>
    </row>
    <row r="92" spans="2:12" ht="30.75" customHeight="1" thickBot="1" x14ac:dyDescent="0.45">
      <c r="B92" s="58" t="s">
        <v>64</v>
      </c>
      <c r="C92" s="70" t="s">
        <v>39</v>
      </c>
      <c r="D92" s="15">
        <v>100</v>
      </c>
      <c r="E92" s="16">
        <f>0.96*100/60</f>
        <v>1.6</v>
      </c>
      <c r="F92" s="16">
        <f>3.78*100/60</f>
        <v>6.3</v>
      </c>
      <c r="G92" s="16">
        <f>4.44*100/60</f>
        <v>7.4000000000000012</v>
      </c>
      <c r="H92" s="16">
        <f>54.48*100/60</f>
        <v>90.8</v>
      </c>
      <c r="I92" s="16">
        <f>10.2*100/60</f>
        <v>16.999999999999996</v>
      </c>
      <c r="J92" s="46">
        <f>12.6*100/60</f>
        <v>21</v>
      </c>
      <c r="K92" s="13">
        <f>3.12*100/60</f>
        <v>5.2</v>
      </c>
      <c r="L92" s="7">
        <f>0.06*100/60</f>
        <v>0.1</v>
      </c>
    </row>
    <row r="93" spans="2:12" ht="30" customHeight="1" thickBot="1" x14ac:dyDescent="0.45">
      <c r="B93" s="35" t="s">
        <v>18</v>
      </c>
      <c r="C93" s="14" t="s">
        <v>60</v>
      </c>
      <c r="D93" s="36">
        <v>250</v>
      </c>
      <c r="E93" s="6">
        <f>1.98*250/200</f>
        <v>2.4750000000000001</v>
      </c>
      <c r="F93" s="6">
        <f>3.51*250/200</f>
        <v>4.3875000000000002</v>
      </c>
      <c r="G93" s="6">
        <f>13.74*250/200</f>
        <v>17.175000000000001</v>
      </c>
      <c r="H93" s="6">
        <f>95.14*250/200</f>
        <v>118.925</v>
      </c>
      <c r="I93" s="16">
        <f>13.42*250/200</f>
        <v>16.774999999999999</v>
      </c>
      <c r="J93" s="38">
        <f>20.31*250/200</f>
        <v>25.387499999999999</v>
      </c>
      <c r="K93" s="13">
        <f>21.25*250/200</f>
        <v>26.5625</v>
      </c>
      <c r="L93" s="7">
        <f>0.8*250/200</f>
        <v>1</v>
      </c>
    </row>
    <row r="94" spans="2:12" ht="30.75" customHeight="1" thickBot="1" x14ac:dyDescent="0.45">
      <c r="B94" s="35" t="s">
        <v>62</v>
      </c>
      <c r="C94" s="14" t="s">
        <v>61</v>
      </c>
      <c r="D94" s="36">
        <v>250</v>
      </c>
      <c r="E94" s="6">
        <f>17.07*250/200</f>
        <v>21.337499999999999</v>
      </c>
      <c r="F94" s="6">
        <f>19.82*250/200</f>
        <v>24.774999999999999</v>
      </c>
      <c r="G94" s="6">
        <f>31.43*250/200</f>
        <v>39.287500000000001</v>
      </c>
      <c r="H94" s="6">
        <f>372.22*250/200</f>
        <v>465.27499999999998</v>
      </c>
      <c r="I94" s="16">
        <f>17.13*250/200</f>
        <v>21.412500000000001</v>
      </c>
      <c r="J94" s="38">
        <f>141.36*250/200</f>
        <v>176.7</v>
      </c>
      <c r="K94" s="13">
        <f>51.09*250/200</f>
        <v>63.862499999999997</v>
      </c>
      <c r="L94" s="7">
        <f>1.48*250/200</f>
        <v>1.85</v>
      </c>
    </row>
    <row r="95" spans="2:12" ht="31.5" customHeight="1" thickBot="1" x14ac:dyDescent="0.45">
      <c r="B95" s="35" t="s">
        <v>14</v>
      </c>
      <c r="C95" s="14" t="s">
        <v>42</v>
      </c>
      <c r="D95" s="36">
        <v>60</v>
      </c>
      <c r="E95" s="6">
        <v>4.5599999999999996</v>
      </c>
      <c r="F95" s="6">
        <v>0.47999999999999993</v>
      </c>
      <c r="G95" s="6">
        <v>29.479999999999997</v>
      </c>
      <c r="H95" s="6">
        <v>141</v>
      </c>
      <c r="I95" s="16">
        <v>0</v>
      </c>
      <c r="J95" s="38">
        <v>13.8</v>
      </c>
      <c r="K95" s="18">
        <v>19.8</v>
      </c>
      <c r="L95" s="7">
        <v>1.1466666666666667</v>
      </c>
    </row>
    <row r="96" spans="2:12" ht="31.5" customHeight="1" thickBot="1" x14ac:dyDescent="0.45">
      <c r="B96" s="9" t="s">
        <v>16</v>
      </c>
      <c r="C96" s="19" t="s">
        <v>43</v>
      </c>
      <c r="D96" s="11">
        <v>40</v>
      </c>
      <c r="E96" s="12">
        <v>2.64</v>
      </c>
      <c r="F96" s="12">
        <v>4.8</v>
      </c>
      <c r="G96" s="12">
        <v>13.36</v>
      </c>
      <c r="H96" s="12">
        <v>69.599999999999994</v>
      </c>
      <c r="I96" s="7">
        <v>0</v>
      </c>
      <c r="J96" s="17">
        <v>13.2</v>
      </c>
      <c r="K96" s="18">
        <v>22.8</v>
      </c>
      <c r="L96" s="7">
        <v>1.8079999999999998</v>
      </c>
    </row>
    <row r="97" spans="2:12" ht="30.75" customHeight="1" thickBot="1" x14ac:dyDescent="0.45">
      <c r="B97" s="9" t="s">
        <v>55</v>
      </c>
      <c r="C97" s="28" t="s">
        <v>56</v>
      </c>
      <c r="D97" s="15">
        <v>180</v>
      </c>
      <c r="E97" s="16">
        <v>0.9</v>
      </c>
      <c r="F97" s="16">
        <v>0.18</v>
      </c>
      <c r="G97" s="16">
        <v>18.18</v>
      </c>
      <c r="H97" s="6">
        <v>82.8</v>
      </c>
      <c r="I97" s="7">
        <v>3.6</v>
      </c>
      <c r="J97" s="17">
        <v>12.6</v>
      </c>
      <c r="K97" s="18">
        <v>7.2</v>
      </c>
      <c r="L97" s="7">
        <v>2.52</v>
      </c>
    </row>
    <row r="98" spans="2:12" ht="31.2" customHeight="1" thickBot="1" x14ac:dyDescent="0.45">
      <c r="B98" s="108"/>
      <c r="C98" s="61" t="s">
        <v>2</v>
      </c>
      <c r="D98" s="62">
        <f t="shared" ref="D98:L98" si="13">SUM(D92:D97)</f>
        <v>880</v>
      </c>
      <c r="E98" s="63">
        <f t="shared" si="13"/>
        <v>33.512499999999996</v>
      </c>
      <c r="F98" s="63">
        <f t="shared" si="13"/>
        <v>40.922499999999992</v>
      </c>
      <c r="G98" s="63">
        <f t="shared" si="13"/>
        <v>124.88249999999999</v>
      </c>
      <c r="H98" s="63">
        <f t="shared" si="13"/>
        <v>968.4</v>
      </c>
      <c r="I98" s="63">
        <f t="shared" si="13"/>
        <v>58.787499999999994</v>
      </c>
      <c r="J98" s="63">
        <f t="shared" si="13"/>
        <v>262.6875</v>
      </c>
      <c r="K98" s="63">
        <f t="shared" si="13"/>
        <v>145.42499999999998</v>
      </c>
      <c r="L98" s="66">
        <f t="shared" si="13"/>
        <v>8.424666666666667</v>
      </c>
    </row>
    <row r="99" spans="2:12" ht="31.95" customHeight="1" thickBot="1" x14ac:dyDescent="0.45">
      <c r="B99" s="108"/>
      <c r="C99" s="61" t="s">
        <v>3</v>
      </c>
      <c r="D99" s="62">
        <f t="shared" ref="D99:L99" si="14">D98+D90</f>
        <v>1440</v>
      </c>
      <c r="E99" s="63">
        <f t="shared" si="14"/>
        <v>56.346499999999999</v>
      </c>
      <c r="F99" s="63">
        <f t="shared" si="14"/>
        <v>67.916499999999985</v>
      </c>
      <c r="G99" s="63">
        <f t="shared" si="14"/>
        <v>212.39330000000001</v>
      </c>
      <c r="H99" s="63">
        <f t="shared" si="14"/>
        <v>1584.8431999999998</v>
      </c>
      <c r="I99" s="63">
        <f t="shared" si="14"/>
        <v>60.587099999999992</v>
      </c>
      <c r="J99" s="63">
        <f t="shared" si="14"/>
        <v>461.08710000000002</v>
      </c>
      <c r="K99" s="63">
        <f t="shared" si="14"/>
        <v>232.75019999999998</v>
      </c>
      <c r="L99" s="64">
        <f t="shared" si="14"/>
        <v>12.271066666666666</v>
      </c>
    </row>
    <row r="100" spans="2:12" ht="34.5" customHeight="1" thickBot="1" x14ac:dyDescent="0.45">
      <c r="B100" s="2" t="s">
        <v>21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2"/>
    </row>
    <row r="101" spans="2:12" ht="21.75" customHeight="1" thickBot="1" x14ac:dyDescent="0.45">
      <c r="B101" s="172" t="s">
        <v>4</v>
      </c>
      <c r="C101" s="166" t="s">
        <v>0</v>
      </c>
      <c r="D101" s="166" t="s">
        <v>31</v>
      </c>
      <c r="E101" s="163" t="s">
        <v>12</v>
      </c>
      <c r="F101" s="164"/>
      <c r="G101" s="164"/>
      <c r="H101" s="165"/>
      <c r="I101" s="168" t="s">
        <v>36</v>
      </c>
      <c r="J101" s="170" t="s">
        <v>37</v>
      </c>
      <c r="K101" s="170" t="s">
        <v>38</v>
      </c>
      <c r="L101" s="170" t="s">
        <v>40</v>
      </c>
    </row>
    <row r="102" spans="2:12" ht="43.5" customHeight="1" thickBot="1" x14ac:dyDescent="0.45">
      <c r="B102" s="173"/>
      <c r="C102" s="167"/>
      <c r="D102" s="167"/>
      <c r="E102" s="23" t="s">
        <v>32</v>
      </c>
      <c r="F102" s="23" t="s">
        <v>33</v>
      </c>
      <c r="G102" s="23" t="s">
        <v>34</v>
      </c>
      <c r="H102" s="23" t="s">
        <v>35</v>
      </c>
      <c r="I102" s="169"/>
      <c r="J102" s="171"/>
      <c r="K102" s="171"/>
      <c r="L102" s="171"/>
    </row>
    <row r="103" spans="2:12" ht="28.5" customHeight="1" thickBot="1" x14ac:dyDescent="0.45">
      <c r="B103" s="29" t="s">
        <v>27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2"/>
    </row>
    <row r="104" spans="2:12" ht="29.4" customHeight="1" thickBot="1" x14ac:dyDescent="0.45">
      <c r="B104" s="9" t="s">
        <v>72</v>
      </c>
      <c r="C104" s="10" t="s">
        <v>71</v>
      </c>
      <c r="D104" s="11">
        <v>50</v>
      </c>
      <c r="E104" s="12">
        <f>1.24*50/40</f>
        <v>1.55</v>
      </c>
      <c r="F104" s="12">
        <f>0.08*50/40</f>
        <v>0.1</v>
      </c>
      <c r="G104" s="12">
        <f>2.6*50/40</f>
        <v>3.25</v>
      </c>
      <c r="H104" s="12">
        <f>16*50/40</f>
        <v>20</v>
      </c>
      <c r="I104" s="12">
        <f>3.12*50/40</f>
        <v>3.9</v>
      </c>
      <c r="J104" s="7">
        <f>8*50/40</f>
        <v>10</v>
      </c>
      <c r="K104" s="26">
        <f>5.71*50/40</f>
        <v>7.1375000000000002</v>
      </c>
      <c r="L104" s="7">
        <f>0.27*50/40</f>
        <v>0.33750000000000002</v>
      </c>
    </row>
    <row r="105" spans="2:12" ht="30" customHeight="1" thickBot="1" x14ac:dyDescent="0.45">
      <c r="B105" s="9" t="s">
        <v>54</v>
      </c>
      <c r="C105" s="4" t="s">
        <v>53</v>
      </c>
      <c r="D105" s="11">
        <v>200</v>
      </c>
      <c r="E105" s="12">
        <f>10.21*200/150</f>
        <v>13.613333333333335</v>
      </c>
      <c r="F105" s="12">
        <f>11.9*200/150</f>
        <v>15.866666666666667</v>
      </c>
      <c r="G105" s="12">
        <f>1.92*200/150</f>
        <v>2.56</v>
      </c>
      <c r="H105" s="12">
        <f>161.88*200/150</f>
        <v>215.84</v>
      </c>
      <c r="I105" s="12">
        <f>0.43*200/150</f>
        <v>0.57333333333333336</v>
      </c>
      <c r="J105" s="12">
        <f>86.51*200/150</f>
        <v>115.34666666666666</v>
      </c>
      <c r="K105" s="13">
        <f>14.59*200/150</f>
        <v>19.453333333333333</v>
      </c>
      <c r="L105" s="7">
        <f>2.1*200/150</f>
        <v>2.8</v>
      </c>
    </row>
    <row r="106" spans="2:12" ht="28.95" customHeight="1" thickBot="1" x14ac:dyDescent="0.45">
      <c r="B106" s="9" t="s">
        <v>19</v>
      </c>
      <c r="C106" s="10" t="s">
        <v>52</v>
      </c>
      <c r="D106" s="11">
        <v>10</v>
      </c>
      <c r="E106" s="12">
        <v>0.05</v>
      </c>
      <c r="F106" s="12">
        <v>8.25</v>
      </c>
      <c r="G106" s="12">
        <v>0.08</v>
      </c>
      <c r="H106" s="12">
        <v>74.8</v>
      </c>
      <c r="I106" s="12">
        <v>0</v>
      </c>
      <c r="J106" s="12">
        <v>2.4</v>
      </c>
      <c r="K106" s="13">
        <v>0.05</v>
      </c>
      <c r="L106" s="7">
        <v>0.02</v>
      </c>
    </row>
    <row r="107" spans="2:12" ht="30" customHeight="1" thickBot="1" x14ac:dyDescent="0.45">
      <c r="B107" s="9" t="s">
        <v>65</v>
      </c>
      <c r="C107" s="19" t="s">
        <v>97</v>
      </c>
      <c r="D107" s="11">
        <v>50</v>
      </c>
      <c r="E107" s="12">
        <f>3.08*50/40</f>
        <v>3.85</v>
      </c>
      <c r="F107" s="12">
        <f>1.2*50/40</f>
        <v>1.5</v>
      </c>
      <c r="G107" s="12">
        <f>20.04*50/40</f>
        <v>25.05</v>
      </c>
      <c r="H107" s="12">
        <f>103.6*50/40</f>
        <v>129.5</v>
      </c>
      <c r="I107" s="12">
        <v>0</v>
      </c>
      <c r="J107" s="12">
        <f>8.8*50/40</f>
        <v>11.000000000000002</v>
      </c>
      <c r="K107" s="13">
        <f>13.2*50/40</f>
        <v>16.5</v>
      </c>
      <c r="L107" s="7">
        <f>0.8*50/40</f>
        <v>1</v>
      </c>
    </row>
    <row r="108" spans="2:12" ht="28.95" customHeight="1" thickBot="1" x14ac:dyDescent="0.45">
      <c r="B108" s="35" t="s">
        <v>16</v>
      </c>
      <c r="C108" s="14" t="s">
        <v>43</v>
      </c>
      <c r="D108" s="36">
        <v>50</v>
      </c>
      <c r="E108" s="6">
        <v>3.3</v>
      </c>
      <c r="F108" s="6">
        <v>0.6</v>
      </c>
      <c r="G108" s="6">
        <v>16.7</v>
      </c>
      <c r="H108" s="6">
        <v>87</v>
      </c>
      <c r="I108" s="16">
        <v>0</v>
      </c>
      <c r="J108" s="38">
        <v>16.5</v>
      </c>
      <c r="K108" s="39">
        <v>28.5</v>
      </c>
      <c r="L108" s="16">
        <v>2.25</v>
      </c>
    </row>
    <row r="109" spans="2:12" ht="30.6" customHeight="1" thickBot="1" x14ac:dyDescent="0.45">
      <c r="B109" s="9" t="s">
        <v>26</v>
      </c>
      <c r="C109" s="19" t="s">
        <v>76</v>
      </c>
      <c r="D109" s="11">
        <v>200</v>
      </c>
      <c r="E109" s="12">
        <f>1.04*200/180</f>
        <v>1.1555555555555554</v>
      </c>
      <c r="F109" s="12">
        <f>0.27*200/180</f>
        <v>0.3</v>
      </c>
      <c r="G109" s="12">
        <f>42.53*200/180</f>
        <v>47.255555555555553</v>
      </c>
      <c r="H109" s="12">
        <f>176.74*200/180</f>
        <v>196.37777777777777</v>
      </c>
      <c r="I109" s="12">
        <f>0.72*200/180</f>
        <v>0.8</v>
      </c>
      <c r="J109" s="12">
        <f>5.26*200/180</f>
        <v>5.8444444444444441</v>
      </c>
      <c r="K109" s="18">
        <f>30.03*200/180</f>
        <v>33.366666666666667</v>
      </c>
      <c r="L109" s="7">
        <f>0.86*200/180</f>
        <v>0.9555555555555556</v>
      </c>
    </row>
    <row r="110" spans="2:12" ht="31.5" customHeight="1" thickBot="1" x14ac:dyDescent="0.45">
      <c r="B110" s="142"/>
      <c r="C110" s="143" t="s">
        <v>28</v>
      </c>
      <c r="D110" s="99">
        <f t="shared" ref="D110:L110" si="15">SUM(D104:D109)</f>
        <v>560</v>
      </c>
      <c r="E110" s="64">
        <f t="shared" si="15"/>
        <v>23.518888888888892</v>
      </c>
      <c r="F110" s="64">
        <f t="shared" si="15"/>
        <v>26.616666666666671</v>
      </c>
      <c r="G110" s="64">
        <f t="shared" si="15"/>
        <v>94.895555555555546</v>
      </c>
      <c r="H110" s="64">
        <f t="shared" si="15"/>
        <v>723.51777777777772</v>
      </c>
      <c r="I110" s="64">
        <f t="shared" si="15"/>
        <v>5.2733333333333334</v>
      </c>
      <c r="J110" s="64">
        <f t="shared" si="15"/>
        <v>161.0911111111111</v>
      </c>
      <c r="K110" s="64">
        <f t="shared" si="15"/>
        <v>105.00749999999999</v>
      </c>
      <c r="L110" s="64">
        <f t="shared" si="15"/>
        <v>7.3630555555555555</v>
      </c>
    </row>
    <row r="111" spans="2:12" ht="28.5" customHeight="1" thickBot="1" x14ac:dyDescent="0.45">
      <c r="B111" s="29" t="s">
        <v>1</v>
      </c>
      <c r="C111" s="30"/>
      <c r="D111" s="31"/>
      <c r="E111" s="30"/>
      <c r="F111" s="30"/>
      <c r="G111" s="30"/>
      <c r="H111" s="30"/>
      <c r="I111" s="30"/>
      <c r="J111" s="30"/>
      <c r="K111" s="30"/>
      <c r="L111" s="32"/>
    </row>
    <row r="112" spans="2:12" ht="27" customHeight="1" thickBot="1" x14ac:dyDescent="0.45">
      <c r="B112" s="44" t="s">
        <v>69</v>
      </c>
      <c r="C112" s="45" t="s">
        <v>81</v>
      </c>
      <c r="D112" s="36">
        <v>100</v>
      </c>
      <c r="E112" s="33">
        <v>0.7</v>
      </c>
      <c r="F112" s="33">
        <v>0.1</v>
      </c>
      <c r="G112" s="33">
        <v>1.8999999999999997</v>
      </c>
      <c r="H112" s="33">
        <v>11</v>
      </c>
      <c r="I112" s="16">
        <v>10</v>
      </c>
      <c r="J112" s="46">
        <v>23</v>
      </c>
      <c r="K112" s="39">
        <v>14</v>
      </c>
      <c r="L112" s="16">
        <v>0.9</v>
      </c>
    </row>
    <row r="113" spans="2:12" ht="27.75" customHeight="1" thickBot="1" x14ac:dyDescent="0.45">
      <c r="B113" s="35" t="s">
        <v>116</v>
      </c>
      <c r="C113" s="14" t="s">
        <v>114</v>
      </c>
      <c r="D113" s="36">
        <v>250</v>
      </c>
      <c r="E113" s="6">
        <f>1.53*250/200</f>
        <v>1.9125000000000001</v>
      </c>
      <c r="F113" s="6">
        <f>3.9*250/200</f>
        <v>4.875</v>
      </c>
      <c r="G113" s="6">
        <f>6.67*250/200</f>
        <v>8.3375000000000004</v>
      </c>
      <c r="H113" s="12">
        <f>118.96*250/200</f>
        <v>148.69999999999999</v>
      </c>
      <c r="I113" s="18">
        <f>23.64*250/200</f>
        <v>29.55</v>
      </c>
      <c r="J113" s="26">
        <f>42.83*250/200</f>
        <v>53.537500000000001</v>
      </c>
      <c r="K113" s="18">
        <f>16.77*250/200</f>
        <v>20.962499999999999</v>
      </c>
      <c r="L113" s="18">
        <f>0.59*250/200</f>
        <v>0.73750000000000004</v>
      </c>
    </row>
    <row r="114" spans="2:12" ht="26.25" customHeight="1" thickBot="1" x14ac:dyDescent="0.45">
      <c r="B114" s="35" t="s">
        <v>91</v>
      </c>
      <c r="C114" s="14" t="s">
        <v>73</v>
      </c>
      <c r="D114" s="36">
        <v>100</v>
      </c>
      <c r="E114" s="6">
        <v>10.63</v>
      </c>
      <c r="F114" s="6">
        <v>12.64</v>
      </c>
      <c r="G114" s="6">
        <v>13.07</v>
      </c>
      <c r="H114" s="6">
        <v>209.45</v>
      </c>
      <c r="I114" s="16">
        <v>0.54</v>
      </c>
      <c r="J114" s="38">
        <v>60.77</v>
      </c>
      <c r="K114" s="18">
        <v>33.950000000000003</v>
      </c>
      <c r="L114" s="7">
        <v>1.2</v>
      </c>
    </row>
    <row r="115" spans="2:12" ht="25.5" customHeight="1" thickBot="1" x14ac:dyDescent="0.45">
      <c r="B115" s="35" t="s">
        <v>59</v>
      </c>
      <c r="C115" s="14" t="s">
        <v>115</v>
      </c>
      <c r="D115" s="36">
        <v>180</v>
      </c>
      <c r="E115" s="6">
        <f>6.6*180/150</f>
        <v>7.92</v>
      </c>
      <c r="F115" s="6">
        <f>5.4*180/150</f>
        <v>6.48</v>
      </c>
      <c r="G115" s="6">
        <f>38.55*180/150</f>
        <v>46.259999999999991</v>
      </c>
      <c r="H115" s="6">
        <f>229*180/150</f>
        <v>274.8</v>
      </c>
      <c r="I115" s="16">
        <v>0</v>
      </c>
      <c r="J115" s="38">
        <f>16.5*180/150</f>
        <v>19.8</v>
      </c>
      <c r="K115" s="18">
        <f>18*180/150</f>
        <v>21.6</v>
      </c>
      <c r="L115" s="7">
        <f>1.27*180/150</f>
        <v>1.524</v>
      </c>
    </row>
    <row r="116" spans="2:12" ht="27" customHeight="1" thickBot="1" x14ac:dyDescent="0.45">
      <c r="B116" s="35" t="s">
        <v>14</v>
      </c>
      <c r="C116" s="14" t="s">
        <v>42</v>
      </c>
      <c r="D116" s="36">
        <v>60</v>
      </c>
      <c r="E116" s="6">
        <v>4.5599999999999996</v>
      </c>
      <c r="F116" s="6">
        <v>0.47999999999999993</v>
      </c>
      <c r="G116" s="6">
        <v>29.479999999999997</v>
      </c>
      <c r="H116" s="6">
        <v>141</v>
      </c>
      <c r="I116" s="16">
        <v>0</v>
      </c>
      <c r="J116" s="38">
        <v>13.8</v>
      </c>
      <c r="K116" s="18">
        <v>19.8</v>
      </c>
      <c r="L116" s="7">
        <v>1.1466666666666667</v>
      </c>
    </row>
    <row r="117" spans="2:12" ht="26.25" customHeight="1" thickBot="1" x14ac:dyDescent="0.45">
      <c r="B117" s="35" t="s">
        <v>16</v>
      </c>
      <c r="C117" s="14" t="s">
        <v>43</v>
      </c>
      <c r="D117" s="36">
        <v>40</v>
      </c>
      <c r="E117" s="6">
        <v>2.64</v>
      </c>
      <c r="F117" s="6">
        <v>4.8</v>
      </c>
      <c r="G117" s="6">
        <v>13.36</v>
      </c>
      <c r="H117" s="6">
        <v>69.599999999999994</v>
      </c>
      <c r="I117" s="16">
        <v>0</v>
      </c>
      <c r="J117" s="38">
        <v>13.2</v>
      </c>
      <c r="K117" s="39">
        <v>22.8</v>
      </c>
      <c r="L117" s="16">
        <v>1.8079999999999998</v>
      </c>
    </row>
    <row r="118" spans="2:12" ht="27" customHeight="1" thickBot="1" x14ac:dyDescent="0.45">
      <c r="B118" s="9" t="s">
        <v>13</v>
      </c>
      <c r="C118" s="28" t="s">
        <v>45</v>
      </c>
      <c r="D118" s="15">
        <v>180</v>
      </c>
      <c r="E118" s="16">
        <v>0</v>
      </c>
      <c r="F118" s="16">
        <v>0</v>
      </c>
      <c r="G118" s="16">
        <v>6.29</v>
      </c>
      <c r="H118" s="6">
        <v>25.14</v>
      </c>
      <c r="I118" s="7">
        <v>0.05</v>
      </c>
      <c r="J118" s="17">
        <v>2.42</v>
      </c>
      <c r="K118" s="18">
        <v>1.98</v>
      </c>
      <c r="L118" s="7">
        <v>0.39</v>
      </c>
    </row>
    <row r="119" spans="2:12" ht="32.25" customHeight="1" thickBot="1" x14ac:dyDescent="0.45">
      <c r="B119" s="35"/>
      <c r="C119" s="61" t="s">
        <v>2</v>
      </c>
      <c r="D119" s="62">
        <f t="shared" ref="D119:L119" si="16">SUM(D112:D118)</f>
        <v>910</v>
      </c>
      <c r="E119" s="63">
        <f t="shared" si="16"/>
        <v>28.362500000000001</v>
      </c>
      <c r="F119" s="63">
        <f t="shared" si="16"/>
        <v>29.375000000000004</v>
      </c>
      <c r="G119" s="63">
        <f t="shared" si="16"/>
        <v>118.69749999999999</v>
      </c>
      <c r="H119" s="63">
        <f t="shared" si="16"/>
        <v>879.69</v>
      </c>
      <c r="I119" s="64">
        <f t="shared" si="16"/>
        <v>40.139999999999993</v>
      </c>
      <c r="J119" s="65">
        <f t="shared" si="16"/>
        <v>186.5275</v>
      </c>
      <c r="K119" s="66">
        <f t="shared" si="16"/>
        <v>135.09249999999997</v>
      </c>
      <c r="L119" s="66">
        <f t="shared" si="16"/>
        <v>7.7061666666666664</v>
      </c>
    </row>
    <row r="120" spans="2:12" ht="33" customHeight="1" thickBot="1" x14ac:dyDescent="0.45">
      <c r="B120" s="9"/>
      <c r="C120" s="67" t="s">
        <v>3</v>
      </c>
      <c r="D120" s="68">
        <f t="shared" ref="D120:L120" si="17">D119+D110</f>
        <v>1470</v>
      </c>
      <c r="E120" s="69">
        <f t="shared" si="17"/>
        <v>51.881388888888893</v>
      </c>
      <c r="F120" s="69">
        <f t="shared" si="17"/>
        <v>55.991666666666674</v>
      </c>
      <c r="G120" s="69">
        <f t="shared" si="17"/>
        <v>213.59305555555554</v>
      </c>
      <c r="H120" s="69">
        <f t="shared" si="17"/>
        <v>1603.2077777777777</v>
      </c>
      <c r="I120" s="69">
        <f t="shared" si="17"/>
        <v>45.413333333333327</v>
      </c>
      <c r="J120" s="69">
        <f t="shared" si="17"/>
        <v>347.61861111111114</v>
      </c>
      <c r="K120" s="69">
        <f t="shared" si="17"/>
        <v>240.09999999999997</v>
      </c>
      <c r="L120" s="64">
        <f t="shared" si="17"/>
        <v>15.069222222222223</v>
      </c>
    </row>
    <row r="121" spans="2:12" ht="35.25" customHeight="1" thickBot="1" x14ac:dyDescent="0.45">
      <c r="B121" s="2" t="s">
        <v>22</v>
      </c>
      <c r="C121" s="41"/>
      <c r="D121" s="41"/>
      <c r="E121" s="41"/>
      <c r="F121" s="41"/>
      <c r="G121" s="41"/>
      <c r="H121" s="41"/>
      <c r="I121" s="41"/>
      <c r="J121" s="41"/>
      <c r="K121" s="41"/>
      <c r="L121" s="42"/>
    </row>
    <row r="122" spans="2:12" ht="21.75" customHeight="1" thickBot="1" x14ac:dyDescent="0.45">
      <c r="B122" s="172" t="s">
        <v>4</v>
      </c>
      <c r="C122" s="166" t="s">
        <v>0</v>
      </c>
      <c r="D122" s="166" t="s">
        <v>31</v>
      </c>
      <c r="E122" s="163" t="s">
        <v>12</v>
      </c>
      <c r="F122" s="164"/>
      <c r="G122" s="164"/>
      <c r="H122" s="165"/>
      <c r="I122" s="168" t="s">
        <v>36</v>
      </c>
      <c r="J122" s="170" t="s">
        <v>37</v>
      </c>
      <c r="K122" s="170" t="s">
        <v>38</v>
      </c>
      <c r="L122" s="170" t="s">
        <v>40</v>
      </c>
    </row>
    <row r="123" spans="2:12" ht="47.25" customHeight="1" thickBot="1" x14ac:dyDescent="0.45">
      <c r="B123" s="173"/>
      <c r="C123" s="167"/>
      <c r="D123" s="167"/>
      <c r="E123" s="23" t="s">
        <v>32</v>
      </c>
      <c r="F123" s="23" t="s">
        <v>33</v>
      </c>
      <c r="G123" s="23" t="s">
        <v>34</v>
      </c>
      <c r="H123" s="23" t="s">
        <v>35</v>
      </c>
      <c r="I123" s="169"/>
      <c r="J123" s="171"/>
      <c r="K123" s="171"/>
      <c r="L123" s="171"/>
    </row>
    <row r="124" spans="2:12" ht="27" customHeight="1" thickBot="1" x14ac:dyDescent="0.45">
      <c r="B124" s="29" t="s">
        <v>27</v>
      </c>
      <c r="C124" s="30"/>
      <c r="D124" s="30"/>
      <c r="E124" s="30"/>
      <c r="F124" s="30"/>
      <c r="G124" s="30"/>
      <c r="H124" s="30"/>
      <c r="I124" s="30"/>
      <c r="J124" s="30"/>
      <c r="K124" s="30"/>
      <c r="L124" s="32"/>
    </row>
    <row r="125" spans="2:12" ht="27" customHeight="1" thickBot="1" x14ac:dyDescent="0.45">
      <c r="B125" s="58" t="s">
        <v>69</v>
      </c>
      <c r="C125" s="14" t="s">
        <v>81</v>
      </c>
      <c r="D125" s="36">
        <v>100</v>
      </c>
      <c r="E125" s="33">
        <v>0.7</v>
      </c>
      <c r="F125" s="33">
        <v>0.1</v>
      </c>
      <c r="G125" s="33">
        <v>1.8999999999999997</v>
      </c>
      <c r="H125" s="33">
        <v>11</v>
      </c>
      <c r="I125" s="16">
        <v>10</v>
      </c>
      <c r="J125" s="46">
        <v>23</v>
      </c>
      <c r="K125" s="18">
        <v>14</v>
      </c>
      <c r="L125" s="7">
        <v>0.9</v>
      </c>
    </row>
    <row r="126" spans="2:12" ht="27" customHeight="1" thickBot="1" x14ac:dyDescent="0.45">
      <c r="B126" s="35" t="s">
        <v>99</v>
      </c>
      <c r="C126" s="14" t="s">
        <v>98</v>
      </c>
      <c r="D126" s="36">
        <v>100</v>
      </c>
      <c r="E126" s="6">
        <v>17.3</v>
      </c>
      <c r="F126" s="6">
        <v>13.58</v>
      </c>
      <c r="G126" s="6">
        <v>11.8</v>
      </c>
      <c r="H126" s="6">
        <v>222</v>
      </c>
      <c r="I126" s="6">
        <v>8.1</v>
      </c>
      <c r="J126" s="6">
        <v>14</v>
      </c>
      <c r="K126" s="18">
        <v>20</v>
      </c>
      <c r="L126" s="7">
        <v>5.7</v>
      </c>
    </row>
    <row r="127" spans="2:12" ht="28.5" customHeight="1" thickBot="1" x14ac:dyDescent="0.45">
      <c r="B127" s="35" t="s">
        <v>96</v>
      </c>
      <c r="C127" s="14" t="s">
        <v>74</v>
      </c>
      <c r="D127" s="15">
        <v>180</v>
      </c>
      <c r="E127" s="16">
        <v>3.9</v>
      </c>
      <c r="F127" s="16">
        <v>3.456</v>
      </c>
      <c r="G127" s="16">
        <v>34.787999999999997</v>
      </c>
      <c r="H127" s="6">
        <v>227.47200000000001</v>
      </c>
      <c r="I127" s="7">
        <v>31.14</v>
      </c>
      <c r="J127" s="17">
        <v>174.708</v>
      </c>
      <c r="K127" s="18">
        <v>39.588000000000008</v>
      </c>
      <c r="L127" s="7">
        <v>1.464</v>
      </c>
    </row>
    <row r="128" spans="2:12" ht="27.75" customHeight="1" thickBot="1" x14ac:dyDescent="0.45">
      <c r="B128" s="9" t="s">
        <v>14</v>
      </c>
      <c r="C128" s="28" t="s">
        <v>42</v>
      </c>
      <c r="D128" s="15">
        <v>40</v>
      </c>
      <c r="E128" s="16">
        <f>3.42*40/45</f>
        <v>3.04</v>
      </c>
      <c r="F128" s="16">
        <f>0.36*40/45</f>
        <v>0.31999999999999995</v>
      </c>
      <c r="G128" s="16">
        <f>22.11*40/45</f>
        <v>19.653333333333332</v>
      </c>
      <c r="H128" s="6">
        <f>105.75*40/45</f>
        <v>94</v>
      </c>
      <c r="I128" s="7">
        <v>0</v>
      </c>
      <c r="J128" s="17">
        <f>10.35*40/45</f>
        <v>9.1999999999999993</v>
      </c>
      <c r="K128" s="18">
        <f>14.85*40/45</f>
        <v>13.2</v>
      </c>
      <c r="L128" s="7">
        <f>0.96*40/45</f>
        <v>0.85333333333333328</v>
      </c>
    </row>
    <row r="129" spans="2:13" ht="30" customHeight="1" thickBot="1" x14ac:dyDescent="0.45">
      <c r="B129" s="35" t="s">
        <v>16</v>
      </c>
      <c r="C129" s="14" t="s">
        <v>43</v>
      </c>
      <c r="D129" s="36">
        <v>40</v>
      </c>
      <c r="E129" s="6">
        <v>2.64</v>
      </c>
      <c r="F129" s="6">
        <v>4.8</v>
      </c>
      <c r="G129" s="6">
        <v>13.36</v>
      </c>
      <c r="H129" s="6">
        <v>69.599999999999994</v>
      </c>
      <c r="I129" s="7">
        <v>0</v>
      </c>
      <c r="J129" s="38">
        <v>13.2</v>
      </c>
      <c r="K129" s="18">
        <v>22.8</v>
      </c>
      <c r="L129" s="7">
        <v>1.8079999999999998</v>
      </c>
    </row>
    <row r="130" spans="2:13" ht="30" customHeight="1" thickBot="1" x14ac:dyDescent="0.45">
      <c r="B130" s="9" t="s">
        <v>55</v>
      </c>
      <c r="C130" s="10" t="s">
        <v>56</v>
      </c>
      <c r="D130" s="11">
        <v>180</v>
      </c>
      <c r="E130" s="12">
        <v>0.9</v>
      </c>
      <c r="F130" s="12">
        <v>0.18</v>
      </c>
      <c r="G130" s="12">
        <v>18.18</v>
      </c>
      <c r="H130" s="12">
        <v>82.8</v>
      </c>
      <c r="I130" s="12">
        <v>3.6</v>
      </c>
      <c r="J130" s="12">
        <v>12.6</v>
      </c>
      <c r="K130" s="13">
        <v>7.2</v>
      </c>
      <c r="L130" s="7">
        <v>2.52</v>
      </c>
    </row>
    <row r="131" spans="2:13" ht="33" customHeight="1" thickBot="1" x14ac:dyDescent="0.45">
      <c r="B131" s="141"/>
      <c r="C131" s="140" t="s">
        <v>28</v>
      </c>
      <c r="D131" s="99">
        <f t="shared" ref="D131:L131" si="18">SUM(D125:D130)</f>
        <v>640</v>
      </c>
      <c r="E131" s="64">
        <f t="shared" si="18"/>
        <v>28.479999999999997</v>
      </c>
      <c r="F131" s="64">
        <f t="shared" si="18"/>
        <v>22.436</v>
      </c>
      <c r="G131" s="64">
        <f t="shared" si="18"/>
        <v>99.681333333333328</v>
      </c>
      <c r="H131" s="64">
        <f t="shared" si="18"/>
        <v>706.87199999999996</v>
      </c>
      <c r="I131" s="64">
        <f t="shared" si="18"/>
        <v>52.84</v>
      </c>
      <c r="J131" s="64">
        <f t="shared" si="18"/>
        <v>246.70799999999997</v>
      </c>
      <c r="K131" s="144">
        <f t="shared" si="18"/>
        <v>116.78800000000001</v>
      </c>
      <c r="L131" s="64">
        <f t="shared" si="18"/>
        <v>13.245333333333333</v>
      </c>
    </row>
    <row r="132" spans="2:13" ht="27.75" customHeight="1" thickBot="1" x14ac:dyDescent="0.45">
      <c r="B132" s="29" t="s">
        <v>1</v>
      </c>
      <c r="C132" s="30"/>
      <c r="D132" s="31"/>
      <c r="E132" s="30"/>
      <c r="F132" s="30"/>
      <c r="G132" s="30"/>
      <c r="H132" s="30"/>
      <c r="I132" s="30"/>
      <c r="J132" s="30"/>
      <c r="K132" s="30"/>
      <c r="L132" s="32"/>
    </row>
    <row r="133" spans="2:13" ht="27.75" customHeight="1" thickBot="1" x14ac:dyDescent="0.45">
      <c r="B133" s="58" t="s">
        <v>109</v>
      </c>
      <c r="C133" s="14" t="s">
        <v>110</v>
      </c>
      <c r="D133" s="36">
        <v>250</v>
      </c>
      <c r="E133" s="33">
        <v>5.47</v>
      </c>
      <c r="F133" s="33">
        <v>0.31</v>
      </c>
      <c r="G133" s="33">
        <v>17.95</v>
      </c>
      <c r="H133" s="33">
        <v>150</v>
      </c>
      <c r="I133" s="16">
        <v>0.82</v>
      </c>
      <c r="J133" s="46">
        <v>163</v>
      </c>
      <c r="K133" s="18">
        <v>26.67</v>
      </c>
      <c r="L133" s="7">
        <v>0.65</v>
      </c>
    </row>
    <row r="134" spans="2:13" ht="28.5" customHeight="1" thickBot="1" x14ac:dyDescent="0.45">
      <c r="B134" s="47" t="s">
        <v>111</v>
      </c>
      <c r="C134" s="14" t="s">
        <v>48</v>
      </c>
      <c r="D134" s="118">
        <v>250</v>
      </c>
      <c r="E134" s="119">
        <f>16.94*250/200</f>
        <v>21.175000000000001</v>
      </c>
      <c r="F134" s="119">
        <f>10.46*250/200</f>
        <v>13.074999999999999</v>
      </c>
      <c r="G134" s="119">
        <f>25.73*250/200</f>
        <v>32.162500000000001</v>
      </c>
      <c r="H134" s="120">
        <f>305.33*250/200</f>
        <v>381.66250000000002</v>
      </c>
      <c r="I134" s="120">
        <f>6.02*250/200</f>
        <v>7.5250000000000004</v>
      </c>
      <c r="J134" s="121">
        <f>46.25*250/200</f>
        <v>57.8125</v>
      </c>
      <c r="K134" s="122">
        <f>54.04*250/200</f>
        <v>67.55</v>
      </c>
      <c r="L134" s="120">
        <f>1.97*250/200</f>
        <v>2.4624999999999999</v>
      </c>
    </row>
    <row r="135" spans="2:13" ht="28.5" customHeight="1" thickBot="1" x14ac:dyDescent="0.45">
      <c r="B135" s="35" t="s">
        <v>14</v>
      </c>
      <c r="C135" s="14" t="s">
        <v>42</v>
      </c>
      <c r="D135" s="36">
        <v>60</v>
      </c>
      <c r="E135" s="6">
        <v>4.5599999999999996</v>
      </c>
      <c r="F135" s="6">
        <v>0.47999999999999993</v>
      </c>
      <c r="G135" s="6">
        <v>29.479999999999997</v>
      </c>
      <c r="H135" s="6">
        <v>141</v>
      </c>
      <c r="I135" s="16">
        <v>0</v>
      </c>
      <c r="J135" s="38">
        <v>13.8</v>
      </c>
      <c r="K135" s="18">
        <v>19.8</v>
      </c>
      <c r="L135" s="7">
        <v>1.1466666666666667</v>
      </c>
    </row>
    <row r="136" spans="2:13" ht="29.25" customHeight="1" thickBot="1" x14ac:dyDescent="0.45">
      <c r="B136" s="35" t="s">
        <v>16</v>
      </c>
      <c r="C136" s="14" t="s">
        <v>43</v>
      </c>
      <c r="D136" s="36">
        <v>40</v>
      </c>
      <c r="E136" s="6">
        <v>2.64</v>
      </c>
      <c r="F136" s="6">
        <v>4.8</v>
      </c>
      <c r="G136" s="6">
        <v>13.36</v>
      </c>
      <c r="H136" s="6">
        <v>69.599999999999994</v>
      </c>
      <c r="I136" s="16">
        <v>0</v>
      </c>
      <c r="J136" s="38">
        <v>13.2</v>
      </c>
      <c r="K136" s="18">
        <v>22.8</v>
      </c>
      <c r="L136" s="7">
        <v>1.8079999999999998</v>
      </c>
    </row>
    <row r="137" spans="2:13" ht="29.25" customHeight="1" thickBot="1" x14ac:dyDescent="0.45">
      <c r="B137" s="35" t="s">
        <v>100</v>
      </c>
      <c r="C137" s="14" t="s">
        <v>101</v>
      </c>
      <c r="D137" s="36">
        <v>200</v>
      </c>
      <c r="E137" s="6">
        <v>0.12222222222222222</v>
      </c>
      <c r="F137" s="6">
        <v>0.13333333333333333</v>
      </c>
      <c r="G137" s="6">
        <v>27.877777777777776</v>
      </c>
      <c r="H137" s="6">
        <v>132.44444444444446</v>
      </c>
      <c r="I137" s="16">
        <v>2.0333333333333332</v>
      </c>
      <c r="J137" s="38">
        <v>12.733333333333333</v>
      </c>
      <c r="K137" s="18">
        <v>4.0444444444444443</v>
      </c>
      <c r="L137" s="7">
        <v>0.6</v>
      </c>
    </row>
    <row r="138" spans="2:13" ht="28.5" customHeight="1" thickBot="1" x14ac:dyDescent="0.45">
      <c r="B138" s="9" t="s">
        <v>65</v>
      </c>
      <c r="C138" s="14" t="s">
        <v>84</v>
      </c>
      <c r="D138" s="59">
        <v>45</v>
      </c>
      <c r="E138" s="18">
        <f>1.5*45/30</f>
        <v>2.25</v>
      </c>
      <c r="F138" s="18">
        <f>2.94*45/30</f>
        <v>4.41</v>
      </c>
      <c r="G138" s="18">
        <f>22.32*45/30</f>
        <v>33.479999999999997</v>
      </c>
      <c r="H138" s="18">
        <f>124.2*45/30</f>
        <v>186.3</v>
      </c>
      <c r="I138" s="16">
        <v>0</v>
      </c>
      <c r="J138" s="38">
        <f>8.7*45/30</f>
        <v>13.049999999999999</v>
      </c>
      <c r="K138" s="18">
        <f>6*45/30</f>
        <v>9</v>
      </c>
      <c r="L138" s="7">
        <f>0.63*45/30</f>
        <v>0.94500000000000006</v>
      </c>
    </row>
    <row r="139" spans="2:13" ht="33" customHeight="1" thickBot="1" x14ac:dyDescent="0.45">
      <c r="B139" s="35"/>
      <c r="C139" s="61" t="s">
        <v>2</v>
      </c>
      <c r="D139" s="62">
        <f t="shared" ref="D139:L139" si="19">SUM(D133:D138)</f>
        <v>845</v>
      </c>
      <c r="E139" s="63">
        <f t="shared" si="19"/>
        <v>36.217222222222219</v>
      </c>
      <c r="F139" s="63">
        <f t="shared" si="19"/>
        <v>23.208333333333332</v>
      </c>
      <c r="G139" s="63">
        <f t="shared" si="19"/>
        <v>154.31027777777777</v>
      </c>
      <c r="H139" s="63">
        <f t="shared" si="19"/>
        <v>1061.0069444444446</v>
      </c>
      <c r="I139" s="63">
        <f t="shared" si="19"/>
        <v>10.378333333333334</v>
      </c>
      <c r="J139" s="63">
        <f t="shared" si="19"/>
        <v>273.59583333333336</v>
      </c>
      <c r="K139" s="63">
        <f t="shared" si="19"/>
        <v>149.86444444444444</v>
      </c>
      <c r="L139" s="66">
        <f t="shared" si="19"/>
        <v>7.6121666666666661</v>
      </c>
      <c r="M139" s="43"/>
    </row>
    <row r="140" spans="2:13" ht="30" customHeight="1" thickBot="1" x14ac:dyDescent="0.45">
      <c r="B140" s="9"/>
      <c r="C140" s="67" t="s">
        <v>3</v>
      </c>
      <c r="D140" s="68">
        <f t="shared" ref="D140:L140" si="20">D139+D131</f>
        <v>1485</v>
      </c>
      <c r="E140" s="69">
        <f t="shared" si="20"/>
        <v>64.697222222222223</v>
      </c>
      <c r="F140" s="69">
        <f t="shared" si="20"/>
        <v>45.644333333333336</v>
      </c>
      <c r="G140" s="69">
        <f t="shared" si="20"/>
        <v>253.9916111111111</v>
      </c>
      <c r="H140" s="69">
        <f t="shared" si="20"/>
        <v>1767.8789444444446</v>
      </c>
      <c r="I140" s="69">
        <f t="shared" si="20"/>
        <v>63.218333333333334</v>
      </c>
      <c r="J140" s="69">
        <f t="shared" si="20"/>
        <v>520.30383333333339</v>
      </c>
      <c r="K140" s="69">
        <f t="shared" si="20"/>
        <v>266.65244444444443</v>
      </c>
      <c r="L140" s="64">
        <f t="shared" si="20"/>
        <v>20.857499999999998</v>
      </c>
      <c r="M140" s="43"/>
    </row>
    <row r="141" spans="2:13" ht="32.25" customHeight="1" thickBot="1" x14ac:dyDescent="0.45">
      <c r="B141" s="2" t="s">
        <v>23</v>
      </c>
      <c r="C141" s="41"/>
      <c r="D141" s="41"/>
      <c r="E141" s="41"/>
      <c r="F141" s="41"/>
      <c r="G141" s="41"/>
      <c r="H141" s="41"/>
      <c r="I141" s="41"/>
      <c r="J141" s="41"/>
      <c r="K141" s="41"/>
      <c r="L141" s="42"/>
    </row>
    <row r="142" spans="2:13" ht="23.25" customHeight="1" thickBot="1" x14ac:dyDescent="0.45">
      <c r="B142" s="172" t="s">
        <v>4</v>
      </c>
      <c r="C142" s="166" t="s">
        <v>0</v>
      </c>
      <c r="D142" s="166" t="s">
        <v>31</v>
      </c>
      <c r="E142" s="163" t="s">
        <v>12</v>
      </c>
      <c r="F142" s="164"/>
      <c r="G142" s="164"/>
      <c r="H142" s="165"/>
      <c r="I142" s="168" t="s">
        <v>36</v>
      </c>
      <c r="J142" s="170" t="s">
        <v>37</v>
      </c>
      <c r="K142" s="170" t="s">
        <v>38</v>
      </c>
      <c r="L142" s="170" t="s">
        <v>40</v>
      </c>
    </row>
    <row r="143" spans="2:13" ht="44.25" customHeight="1" thickBot="1" x14ac:dyDescent="0.45">
      <c r="B143" s="173"/>
      <c r="C143" s="167"/>
      <c r="D143" s="167"/>
      <c r="E143" s="23" t="s">
        <v>32</v>
      </c>
      <c r="F143" s="23" t="s">
        <v>33</v>
      </c>
      <c r="G143" s="23" t="s">
        <v>34</v>
      </c>
      <c r="H143" s="23" t="s">
        <v>35</v>
      </c>
      <c r="I143" s="169"/>
      <c r="J143" s="171"/>
      <c r="K143" s="171"/>
      <c r="L143" s="171"/>
    </row>
    <row r="144" spans="2:13" ht="26.25" customHeight="1" thickBot="1" x14ac:dyDescent="0.45">
      <c r="B144" s="29" t="s">
        <v>27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2"/>
    </row>
    <row r="145" spans="2:12" ht="27" customHeight="1" thickBot="1" x14ac:dyDescent="0.45">
      <c r="B145" s="9" t="s">
        <v>103</v>
      </c>
      <c r="C145" s="4" t="s">
        <v>102</v>
      </c>
      <c r="D145" s="5">
        <v>220</v>
      </c>
      <c r="E145" s="6">
        <f>5.02*220/200</f>
        <v>5.5219999999999994</v>
      </c>
      <c r="F145" s="6">
        <f>13.6*220/200</f>
        <v>14.96</v>
      </c>
      <c r="G145" s="6">
        <f>55.76*220/200</f>
        <v>61.335999999999991</v>
      </c>
      <c r="H145" s="6">
        <f>368*220/200</f>
        <v>404.8</v>
      </c>
      <c r="I145" s="6">
        <f>1.08*220/200</f>
        <v>1.1880000000000002</v>
      </c>
      <c r="J145" s="6">
        <f>55.36*220/200</f>
        <v>60.896000000000001</v>
      </c>
      <c r="K145" s="39">
        <f>53.22*220/200</f>
        <v>58.542000000000002</v>
      </c>
      <c r="L145" s="16">
        <f>1.66*220/200</f>
        <v>1.8259999999999998</v>
      </c>
    </row>
    <row r="146" spans="2:12" ht="26.25" customHeight="1" thickBot="1" x14ac:dyDescent="0.45">
      <c r="B146" s="9" t="s">
        <v>68</v>
      </c>
      <c r="C146" s="10" t="s">
        <v>85</v>
      </c>
      <c r="D146" s="11">
        <v>10</v>
      </c>
      <c r="E146" s="12">
        <v>2.0499999999999998</v>
      </c>
      <c r="F146" s="12">
        <v>2.2999999999999998</v>
      </c>
      <c r="G146" s="12">
        <v>0.23</v>
      </c>
      <c r="H146" s="12">
        <v>29.67</v>
      </c>
      <c r="I146" s="12">
        <v>0.06</v>
      </c>
      <c r="J146" s="12">
        <v>70</v>
      </c>
      <c r="K146" s="13">
        <v>3.3</v>
      </c>
      <c r="L146" s="7">
        <v>0.08</v>
      </c>
    </row>
    <row r="147" spans="2:12" ht="25.5" customHeight="1" thickBot="1" x14ac:dyDescent="0.45">
      <c r="B147" s="9" t="s">
        <v>14</v>
      </c>
      <c r="C147" s="14" t="s">
        <v>42</v>
      </c>
      <c r="D147" s="11">
        <v>40</v>
      </c>
      <c r="E147" s="6">
        <v>3.04</v>
      </c>
      <c r="F147" s="6">
        <v>0.32</v>
      </c>
      <c r="G147" s="6">
        <v>19.68</v>
      </c>
      <c r="H147" s="6">
        <v>94</v>
      </c>
      <c r="I147" s="6">
        <v>0</v>
      </c>
      <c r="J147" s="6">
        <v>9.1999999999999993</v>
      </c>
      <c r="K147" s="18">
        <v>13.2</v>
      </c>
      <c r="L147" s="7">
        <v>0.76</v>
      </c>
    </row>
    <row r="148" spans="2:12" ht="27.6" customHeight="1" thickBot="1" x14ac:dyDescent="0.45">
      <c r="B148" s="9" t="s">
        <v>104</v>
      </c>
      <c r="C148" s="28" t="s">
        <v>105</v>
      </c>
      <c r="D148" s="15">
        <v>180</v>
      </c>
      <c r="E148" s="16">
        <v>5.8</v>
      </c>
      <c r="F148" s="16">
        <v>5</v>
      </c>
      <c r="G148" s="16">
        <v>8</v>
      </c>
      <c r="H148" s="16">
        <v>106</v>
      </c>
      <c r="I148" s="16">
        <v>1.4</v>
      </c>
      <c r="J148" s="16">
        <v>240</v>
      </c>
      <c r="K148" s="18">
        <v>28</v>
      </c>
      <c r="L148" s="7">
        <v>0.2</v>
      </c>
    </row>
    <row r="149" spans="2:12" ht="28.95" customHeight="1" thickBot="1" x14ac:dyDescent="0.45">
      <c r="B149" s="9" t="s">
        <v>17</v>
      </c>
      <c r="C149" s="28" t="s">
        <v>66</v>
      </c>
      <c r="D149" s="36">
        <v>100</v>
      </c>
      <c r="E149" s="6">
        <v>0.4</v>
      </c>
      <c r="F149" s="6">
        <v>0.4</v>
      </c>
      <c r="G149" s="6">
        <v>9.8000000000000007</v>
      </c>
      <c r="H149" s="6">
        <v>47</v>
      </c>
      <c r="I149" s="6">
        <v>10</v>
      </c>
      <c r="J149" s="6">
        <v>16</v>
      </c>
      <c r="K149" s="18">
        <v>9</v>
      </c>
      <c r="L149" s="7">
        <v>2.2000000000000002</v>
      </c>
    </row>
    <row r="150" spans="2:12" ht="31.5" customHeight="1" thickBot="1" x14ac:dyDescent="0.45">
      <c r="B150" s="145"/>
      <c r="C150" s="146" t="s">
        <v>28</v>
      </c>
      <c r="D150" s="147">
        <f t="shared" ref="D150:L150" si="21">SUM(D145:D149)</f>
        <v>550</v>
      </c>
      <c r="E150" s="148">
        <f t="shared" si="21"/>
        <v>16.811999999999998</v>
      </c>
      <c r="F150" s="149">
        <f t="shared" si="21"/>
        <v>22.98</v>
      </c>
      <c r="G150" s="148">
        <f t="shared" si="21"/>
        <v>99.045999999999978</v>
      </c>
      <c r="H150" s="148">
        <f t="shared" si="21"/>
        <v>681.47</v>
      </c>
      <c r="I150" s="149">
        <f t="shared" si="21"/>
        <v>12.648</v>
      </c>
      <c r="J150" s="148">
        <f t="shared" si="21"/>
        <v>396.096</v>
      </c>
      <c r="K150" s="149">
        <f t="shared" si="21"/>
        <v>112.042</v>
      </c>
      <c r="L150" s="148">
        <f t="shared" si="21"/>
        <v>5.0660000000000007</v>
      </c>
    </row>
    <row r="151" spans="2:12" ht="25.5" customHeight="1" thickBot="1" x14ac:dyDescent="0.45">
      <c r="B151" s="29" t="s">
        <v>1</v>
      </c>
      <c r="C151" s="30"/>
      <c r="D151" s="31"/>
      <c r="E151" s="30"/>
      <c r="F151" s="30"/>
      <c r="G151" s="30"/>
      <c r="H151" s="30"/>
      <c r="I151" s="30"/>
      <c r="J151" s="30"/>
      <c r="K151" s="30"/>
      <c r="L151" s="32"/>
    </row>
    <row r="152" spans="2:12" ht="30" customHeight="1" thickBot="1" x14ac:dyDescent="0.45">
      <c r="B152" s="58" t="s">
        <v>64</v>
      </c>
      <c r="C152" s="70" t="s">
        <v>39</v>
      </c>
      <c r="D152" s="15">
        <v>100</v>
      </c>
      <c r="E152" s="16">
        <f>0.96*100/60</f>
        <v>1.6</v>
      </c>
      <c r="F152" s="16">
        <f>3.78*100/60</f>
        <v>6.3</v>
      </c>
      <c r="G152" s="16">
        <f>4.44*100/60</f>
        <v>7.4000000000000012</v>
      </c>
      <c r="H152" s="16">
        <f>54.48*100/60</f>
        <v>90.8</v>
      </c>
      <c r="I152" s="16">
        <f>10.2*100/60</f>
        <v>16.999999999999996</v>
      </c>
      <c r="J152" s="46">
        <f>12.6*100/60</f>
        <v>21</v>
      </c>
      <c r="K152" s="13">
        <f>3.12*100/60</f>
        <v>5.2</v>
      </c>
      <c r="L152" s="7">
        <f>0.06*100/60</f>
        <v>0.1</v>
      </c>
    </row>
    <row r="153" spans="2:12" ht="28.5" customHeight="1" thickBot="1" x14ac:dyDescent="0.45">
      <c r="B153" s="35" t="s">
        <v>18</v>
      </c>
      <c r="C153" s="14" t="s">
        <v>60</v>
      </c>
      <c r="D153" s="36">
        <v>250</v>
      </c>
      <c r="E153" s="6">
        <f>1.98*250/200</f>
        <v>2.4750000000000001</v>
      </c>
      <c r="F153" s="6">
        <f>3.51*250/200</f>
        <v>4.3875000000000002</v>
      </c>
      <c r="G153" s="6">
        <f>13.74*250/200</f>
        <v>17.175000000000001</v>
      </c>
      <c r="H153" s="6">
        <f>95.14*250/200</f>
        <v>118.925</v>
      </c>
      <c r="I153" s="16">
        <f>13.42*250/200</f>
        <v>16.774999999999999</v>
      </c>
      <c r="J153" s="38">
        <f>20.31*250/200</f>
        <v>25.387499999999999</v>
      </c>
      <c r="K153" s="13">
        <f>21.25*250/200</f>
        <v>26.5625</v>
      </c>
      <c r="L153" s="7">
        <f>0.8*250/200</f>
        <v>1</v>
      </c>
    </row>
    <row r="154" spans="2:12" ht="30" customHeight="1" thickBot="1" x14ac:dyDescent="0.45">
      <c r="B154" s="35" t="s">
        <v>57</v>
      </c>
      <c r="C154" s="14" t="s">
        <v>80</v>
      </c>
      <c r="D154" s="36">
        <v>100</v>
      </c>
      <c r="E154" s="6">
        <v>8.51</v>
      </c>
      <c r="F154" s="6">
        <v>9.31</v>
      </c>
      <c r="G154" s="6">
        <v>9.0050000000000008</v>
      </c>
      <c r="H154" s="6">
        <v>210.36</v>
      </c>
      <c r="I154" s="16">
        <v>29.58</v>
      </c>
      <c r="J154" s="38">
        <v>18.45</v>
      </c>
      <c r="K154" s="18">
        <v>23.734999999999999</v>
      </c>
      <c r="L154" s="7">
        <v>1.24</v>
      </c>
    </row>
    <row r="155" spans="2:12" ht="29.25" customHeight="1" thickBot="1" x14ac:dyDescent="0.45">
      <c r="B155" s="9" t="s">
        <v>96</v>
      </c>
      <c r="C155" s="28" t="s">
        <v>74</v>
      </c>
      <c r="D155" s="15">
        <v>180</v>
      </c>
      <c r="E155" s="16">
        <v>3.9</v>
      </c>
      <c r="F155" s="16">
        <v>3.456</v>
      </c>
      <c r="G155" s="16">
        <v>34.787999999999997</v>
      </c>
      <c r="H155" s="6">
        <v>227.47200000000001</v>
      </c>
      <c r="I155" s="7">
        <v>31.14</v>
      </c>
      <c r="J155" s="17">
        <v>174.708</v>
      </c>
      <c r="K155" s="18">
        <v>39.588000000000008</v>
      </c>
      <c r="L155" s="7">
        <v>1.464</v>
      </c>
    </row>
    <row r="156" spans="2:12" ht="27.75" customHeight="1" thickBot="1" x14ac:dyDescent="0.45">
      <c r="B156" s="9" t="s">
        <v>14</v>
      </c>
      <c r="C156" s="28" t="s">
        <v>42</v>
      </c>
      <c r="D156" s="15">
        <v>60</v>
      </c>
      <c r="E156" s="16">
        <v>4.5599999999999996</v>
      </c>
      <c r="F156" s="16">
        <v>0.47999999999999993</v>
      </c>
      <c r="G156" s="16">
        <v>29.479999999999997</v>
      </c>
      <c r="H156" s="6">
        <v>141</v>
      </c>
      <c r="I156" s="7">
        <v>0</v>
      </c>
      <c r="J156" s="17">
        <v>13.8</v>
      </c>
      <c r="K156" s="18">
        <v>19.8</v>
      </c>
      <c r="L156" s="7">
        <v>1.1466666666666667</v>
      </c>
    </row>
    <row r="157" spans="2:12" ht="30" customHeight="1" thickBot="1" x14ac:dyDescent="0.45">
      <c r="B157" s="35" t="s">
        <v>16</v>
      </c>
      <c r="C157" s="14" t="s">
        <v>43</v>
      </c>
      <c r="D157" s="36">
        <v>40</v>
      </c>
      <c r="E157" s="6">
        <v>2.64</v>
      </c>
      <c r="F157" s="6">
        <v>4.8</v>
      </c>
      <c r="G157" s="6">
        <v>13.36</v>
      </c>
      <c r="H157" s="6">
        <v>69.599999999999994</v>
      </c>
      <c r="I157" s="7">
        <v>0</v>
      </c>
      <c r="J157" s="38">
        <v>13.2</v>
      </c>
      <c r="K157" s="39">
        <v>22.8</v>
      </c>
      <c r="L157" s="7">
        <v>1.8079999999999998</v>
      </c>
    </row>
    <row r="158" spans="2:12" ht="30.75" customHeight="1" thickBot="1" x14ac:dyDescent="0.45">
      <c r="B158" s="35" t="s">
        <v>26</v>
      </c>
      <c r="C158" s="14" t="s">
        <v>76</v>
      </c>
      <c r="D158" s="36">
        <v>180</v>
      </c>
      <c r="E158" s="6">
        <v>1.04</v>
      </c>
      <c r="F158" s="6">
        <v>0.27</v>
      </c>
      <c r="G158" s="6">
        <v>42.53</v>
      </c>
      <c r="H158" s="6">
        <v>176.74</v>
      </c>
      <c r="I158" s="16">
        <v>0.72</v>
      </c>
      <c r="J158" s="38">
        <v>5.26</v>
      </c>
      <c r="K158" s="109">
        <v>30.03</v>
      </c>
      <c r="L158" s="7">
        <v>0.86</v>
      </c>
    </row>
    <row r="159" spans="2:12" ht="30.75" customHeight="1" thickBot="1" x14ac:dyDescent="0.45">
      <c r="B159" s="35" t="s">
        <v>17</v>
      </c>
      <c r="C159" s="14" t="s">
        <v>66</v>
      </c>
      <c r="D159" s="36">
        <v>100</v>
      </c>
      <c r="E159" s="6">
        <v>0.4</v>
      </c>
      <c r="F159" s="6">
        <v>0.4</v>
      </c>
      <c r="G159" s="6">
        <v>9.8000000000000007</v>
      </c>
      <c r="H159" s="6">
        <v>47</v>
      </c>
      <c r="I159" s="7">
        <v>10</v>
      </c>
      <c r="J159" s="38">
        <v>16</v>
      </c>
      <c r="K159" s="109">
        <v>9</v>
      </c>
      <c r="L159" s="7">
        <v>2.2000000000000002</v>
      </c>
    </row>
    <row r="160" spans="2:12" ht="34.5" customHeight="1" thickBot="1" x14ac:dyDescent="0.45">
      <c r="B160" s="72"/>
      <c r="C160" s="61" t="s">
        <v>2</v>
      </c>
      <c r="D160" s="62">
        <f>SUM(D152:D159)</f>
        <v>1010</v>
      </c>
      <c r="E160" s="63">
        <f t="shared" ref="E160:L160" si="22">SUM(E152:E159)</f>
        <v>25.124999999999996</v>
      </c>
      <c r="F160" s="63">
        <f t="shared" si="22"/>
        <v>29.403500000000001</v>
      </c>
      <c r="G160" s="63">
        <f t="shared" si="22"/>
        <v>163.53800000000001</v>
      </c>
      <c r="H160" s="63">
        <f t="shared" si="22"/>
        <v>1081.8969999999999</v>
      </c>
      <c r="I160" s="63">
        <f t="shared" si="22"/>
        <v>105.21499999999999</v>
      </c>
      <c r="J160" s="63">
        <f t="shared" si="22"/>
        <v>287.80549999999999</v>
      </c>
      <c r="K160" s="63">
        <f t="shared" si="22"/>
        <v>176.71550000000002</v>
      </c>
      <c r="L160" s="63">
        <f t="shared" si="22"/>
        <v>9.8186666666666671</v>
      </c>
    </row>
    <row r="161" spans="2:12" ht="33.75" customHeight="1" thickBot="1" x14ac:dyDescent="0.45">
      <c r="B161" s="40"/>
      <c r="C161" s="67" t="s">
        <v>3</v>
      </c>
      <c r="D161" s="68">
        <f t="shared" ref="D161:L161" si="23">D160+D150</f>
        <v>1560</v>
      </c>
      <c r="E161" s="69">
        <f t="shared" si="23"/>
        <v>41.936999999999998</v>
      </c>
      <c r="F161" s="69">
        <f t="shared" si="23"/>
        <v>52.383499999999998</v>
      </c>
      <c r="G161" s="69">
        <f t="shared" si="23"/>
        <v>262.584</v>
      </c>
      <c r="H161" s="69">
        <f t="shared" si="23"/>
        <v>1763.367</v>
      </c>
      <c r="I161" s="69">
        <f t="shared" si="23"/>
        <v>117.86299999999999</v>
      </c>
      <c r="J161" s="69">
        <f t="shared" si="23"/>
        <v>683.90149999999994</v>
      </c>
      <c r="K161" s="69">
        <f t="shared" si="23"/>
        <v>288.75750000000005</v>
      </c>
      <c r="L161" s="64">
        <f t="shared" si="23"/>
        <v>14.884666666666668</v>
      </c>
    </row>
    <row r="162" spans="2:12" ht="34.5" customHeight="1" thickBot="1" x14ac:dyDescent="0.45">
      <c r="B162" s="2" t="s">
        <v>24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2"/>
    </row>
    <row r="163" spans="2:12" ht="21" customHeight="1" thickBot="1" x14ac:dyDescent="0.45">
      <c r="B163" s="172" t="s">
        <v>4</v>
      </c>
      <c r="C163" s="166" t="s">
        <v>0</v>
      </c>
      <c r="D163" s="166" t="s">
        <v>31</v>
      </c>
      <c r="E163" s="163" t="s">
        <v>12</v>
      </c>
      <c r="F163" s="164"/>
      <c r="G163" s="164"/>
      <c r="H163" s="165"/>
      <c r="I163" s="168" t="s">
        <v>36</v>
      </c>
      <c r="J163" s="170" t="s">
        <v>37</v>
      </c>
      <c r="K163" s="170" t="s">
        <v>38</v>
      </c>
      <c r="L163" s="170" t="s">
        <v>40</v>
      </c>
    </row>
    <row r="164" spans="2:12" ht="46.5" customHeight="1" thickBot="1" x14ac:dyDescent="0.45">
      <c r="B164" s="173"/>
      <c r="C164" s="167"/>
      <c r="D164" s="167"/>
      <c r="E164" s="23" t="s">
        <v>32</v>
      </c>
      <c r="F164" s="23" t="s">
        <v>33</v>
      </c>
      <c r="G164" s="23" t="s">
        <v>34</v>
      </c>
      <c r="H164" s="23" t="s">
        <v>35</v>
      </c>
      <c r="I164" s="169"/>
      <c r="J164" s="171"/>
      <c r="K164" s="171"/>
      <c r="L164" s="171"/>
    </row>
    <row r="165" spans="2:12" ht="25.95" customHeight="1" thickBot="1" x14ac:dyDescent="0.45">
      <c r="B165" s="29" t="s">
        <v>27</v>
      </c>
      <c r="C165" s="30"/>
      <c r="D165" s="30"/>
      <c r="E165" s="30"/>
      <c r="F165" s="30"/>
      <c r="G165" s="30"/>
      <c r="H165" s="30"/>
      <c r="I165" s="30"/>
      <c r="J165" s="30"/>
      <c r="K165" s="30"/>
      <c r="L165" s="32"/>
    </row>
    <row r="166" spans="2:12" ht="28.5" customHeight="1" thickBot="1" x14ac:dyDescent="0.45">
      <c r="B166" s="35" t="s">
        <v>46</v>
      </c>
      <c r="C166" s="14" t="s">
        <v>63</v>
      </c>
      <c r="D166" s="36">
        <v>250</v>
      </c>
      <c r="E166" s="6">
        <v>11.5</v>
      </c>
      <c r="F166" s="6">
        <v>12.574999999999999</v>
      </c>
      <c r="G166" s="6">
        <v>39.287500000000001</v>
      </c>
      <c r="H166" s="6">
        <v>324.95</v>
      </c>
      <c r="I166" s="12">
        <v>4.2</v>
      </c>
      <c r="J166" s="12">
        <v>173.78749999999999</v>
      </c>
      <c r="K166" s="12">
        <v>67.325000000000003</v>
      </c>
      <c r="L166" s="7">
        <v>1.5625</v>
      </c>
    </row>
    <row r="167" spans="2:12" ht="27" customHeight="1" thickBot="1" x14ac:dyDescent="0.45">
      <c r="B167" s="9" t="s">
        <v>19</v>
      </c>
      <c r="C167" s="10" t="s">
        <v>52</v>
      </c>
      <c r="D167" s="11">
        <v>10</v>
      </c>
      <c r="E167" s="12">
        <v>0.05</v>
      </c>
      <c r="F167" s="12">
        <v>8.25</v>
      </c>
      <c r="G167" s="12">
        <v>0.08</v>
      </c>
      <c r="H167" s="12">
        <v>74.8</v>
      </c>
      <c r="I167" s="12">
        <v>0</v>
      </c>
      <c r="J167" s="12">
        <v>2.4</v>
      </c>
      <c r="K167" s="13">
        <v>0.05</v>
      </c>
      <c r="L167" s="7">
        <v>0.02</v>
      </c>
    </row>
    <row r="168" spans="2:12" ht="29.25" customHeight="1" thickBot="1" x14ac:dyDescent="0.45">
      <c r="B168" s="9" t="s">
        <v>65</v>
      </c>
      <c r="C168" s="14" t="s">
        <v>97</v>
      </c>
      <c r="D168" s="11">
        <v>40</v>
      </c>
      <c r="E168" s="6">
        <v>3.08</v>
      </c>
      <c r="F168" s="6">
        <v>1.2</v>
      </c>
      <c r="G168" s="6">
        <v>20.04</v>
      </c>
      <c r="H168" s="6">
        <v>103.6</v>
      </c>
      <c r="I168" s="6">
        <v>0</v>
      </c>
      <c r="J168" s="6">
        <v>8.8000000000000007</v>
      </c>
      <c r="K168" s="18">
        <v>13.2</v>
      </c>
      <c r="L168" s="7">
        <v>0.8</v>
      </c>
    </row>
    <row r="169" spans="2:12" ht="29.25" customHeight="1" thickBot="1" x14ac:dyDescent="0.45">
      <c r="B169" s="9" t="s">
        <v>16</v>
      </c>
      <c r="C169" s="14" t="s">
        <v>43</v>
      </c>
      <c r="D169" s="36">
        <v>20</v>
      </c>
      <c r="E169" s="6">
        <f>1.65*20/25</f>
        <v>1.32</v>
      </c>
      <c r="F169" s="6">
        <f>3*20/25</f>
        <v>2.4</v>
      </c>
      <c r="G169" s="6">
        <f>8.35*20/25</f>
        <v>6.68</v>
      </c>
      <c r="H169" s="6">
        <f>43.5*20/25</f>
        <v>34.799999999999997</v>
      </c>
      <c r="I169" s="6">
        <v>0</v>
      </c>
      <c r="J169" s="38">
        <f>8.25*20/25</f>
        <v>6.6</v>
      </c>
      <c r="K169" s="18">
        <f>14.25*20/25</f>
        <v>11.4</v>
      </c>
      <c r="L169" s="48">
        <f>1.13*20/25</f>
        <v>0.90399999999999991</v>
      </c>
    </row>
    <row r="170" spans="2:12" ht="29.25" customHeight="1" thickBot="1" x14ac:dyDescent="0.45">
      <c r="B170" s="9" t="s">
        <v>51</v>
      </c>
      <c r="C170" s="28" t="s">
        <v>47</v>
      </c>
      <c r="D170" s="15">
        <v>200</v>
      </c>
      <c r="E170" s="16">
        <v>3.58</v>
      </c>
      <c r="F170" s="16">
        <v>2.58</v>
      </c>
      <c r="G170" s="16">
        <v>14.71</v>
      </c>
      <c r="H170" s="6">
        <v>100.06</v>
      </c>
      <c r="I170" s="7">
        <v>1.17</v>
      </c>
      <c r="J170" s="17">
        <v>123.42</v>
      </c>
      <c r="K170" s="18">
        <v>29.6</v>
      </c>
      <c r="L170" s="27">
        <v>1</v>
      </c>
    </row>
    <row r="171" spans="2:12" ht="30.75" customHeight="1" thickBot="1" x14ac:dyDescent="0.45">
      <c r="B171" s="9" t="s">
        <v>65</v>
      </c>
      <c r="C171" s="28" t="s">
        <v>84</v>
      </c>
      <c r="D171" s="36">
        <v>30</v>
      </c>
      <c r="E171" s="6">
        <f>1.5*30/20</f>
        <v>2.25</v>
      </c>
      <c r="F171" s="6">
        <f>1.96*30/20</f>
        <v>2.94</v>
      </c>
      <c r="G171" s="6">
        <f>14.88*30/20</f>
        <v>22.32</v>
      </c>
      <c r="H171" s="6">
        <f>82.8*30/20</f>
        <v>124.2</v>
      </c>
      <c r="I171" s="6">
        <v>0</v>
      </c>
      <c r="J171" s="6">
        <f>5.8*30/20</f>
        <v>8.6999999999999993</v>
      </c>
      <c r="K171" s="13">
        <f>4*30/20</f>
        <v>6</v>
      </c>
      <c r="L171" s="7">
        <f>0.42*30/20</f>
        <v>0.63</v>
      </c>
    </row>
    <row r="172" spans="2:12" ht="30.75" customHeight="1" thickBot="1" x14ac:dyDescent="0.45">
      <c r="B172" s="145"/>
      <c r="C172" s="98" t="s">
        <v>28</v>
      </c>
      <c r="D172" s="99">
        <f t="shared" ref="D172:L172" si="24">SUM(D166:D171)</f>
        <v>550</v>
      </c>
      <c r="E172" s="64">
        <f t="shared" si="24"/>
        <v>21.78</v>
      </c>
      <c r="F172" s="64">
        <f t="shared" si="24"/>
        <v>29.944999999999997</v>
      </c>
      <c r="G172" s="64">
        <f t="shared" si="24"/>
        <v>103.11750000000001</v>
      </c>
      <c r="H172" s="64">
        <f t="shared" si="24"/>
        <v>762.41000000000008</v>
      </c>
      <c r="I172" s="64">
        <f t="shared" si="24"/>
        <v>5.37</v>
      </c>
      <c r="J172" s="64">
        <f t="shared" si="24"/>
        <v>323.70749999999998</v>
      </c>
      <c r="K172" s="64">
        <f t="shared" si="24"/>
        <v>127.57500000000002</v>
      </c>
      <c r="L172" s="64">
        <f t="shared" si="24"/>
        <v>4.9165000000000001</v>
      </c>
    </row>
    <row r="173" spans="2:12" ht="27.75" customHeight="1" thickBot="1" x14ac:dyDescent="0.45">
      <c r="B173" s="29" t="s">
        <v>1</v>
      </c>
      <c r="C173" s="30"/>
      <c r="D173" s="31"/>
      <c r="E173" s="30"/>
      <c r="F173" s="30"/>
      <c r="G173" s="30"/>
      <c r="H173" s="30"/>
      <c r="I173" s="30"/>
      <c r="J173" s="30"/>
      <c r="K173" s="30"/>
      <c r="L173" s="32"/>
    </row>
    <row r="174" spans="2:12" ht="27" customHeight="1" thickBot="1" x14ac:dyDescent="0.45">
      <c r="B174" s="35" t="s">
        <v>117</v>
      </c>
      <c r="C174" s="14" t="s">
        <v>118</v>
      </c>
      <c r="D174" s="36">
        <v>100</v>
      </c>
      <c r="E174" s="6">
        <f>0.8*100/60</f>
        <v>1.3333333333333333</v>
      </c>
      <c r="F174" s="6">
        <f>0.1*100/60</f>
        <v>0.16666666666666666</v>
      </c>
      <c r="G174" s="6">
        <f>4.1*100/60</f>
        <v>6.8333333333333321</v>
      </c>
      <c r="H174" s="6">
        <f>20.3*100/60</f>
        <v>33.833333333333336</v>
      </c>
      <c r="I174" s="16">
        <f>3*100/60</f>
        <v>5</v>
      </c>
      <c r="J174" s="38">
        <f>16*100/60</f>
        <v>26.666666666666668</v>
      </c>
      <c r="K174" s="6">
        <f>23*100/60</f>
        <v>38.333333333333336</v>
      </c>
      <c r="L174" s="16">
        <f>0.42*100/60</f>
        <v>0.7</v>
      </c>
    </row>
    <row r="175" spans="2:12" ht="25.5" customHeight="1" thickBot="1" x14ac:dyDescent="0.45">
      <c r="B175" s="58" t="s">
        <v>15</v>
      </c>
      <c r="C175" s="14" t="s">
        <v>49</v>
      </c>
      <c r="D175" s="36">
        <v>250</v>
      </c>
      <c r="E175" s="6">
        <v>5.87</v>
      </c>
      <c r="F175" s="6">
        <v>5.55</v>
      </c>
      <c r="G175" s="6">
        <v>19.27</v>
      </c>
      <c r="H175" s="6">
        <v>150.85</v>
      </c>
      <c r="I175" s="16">
        <v>11.5</v>
      </c>
      <c r="J175" s="38">
        <v>61.25</v>
      </c>
      <c r="K175" s="13">
        <v>38.26</v>
      </c>
      <c r="L175" s="7">
        <v>2.5</v>
      </c>
    </row>
    <row r="176" spans="2:12" ht="26.25" customHeight="1" thickBot="1" x14ac:dyDescent="0.45">
      <c r="B176" s="37" t="s">
        <v>119</v>
      </c>
      <c r="C176" s="28" t="s">
        <v>120</v>
      </c>
      <c r="D176" s="15">
        <v>250</v>
      </c>
      <c r="E176" s="16">
        <f>22.27*250/200</f>
        <v>27.837499999999999</v>
      </c>
      <c r="F176" s="16">
        <f>15.17*250/200</f>
        <v>18.962499999999999</v>
      </c>
      <c r="G176" s="16">
        <f>70.22*250/200</f>
        <v>87.775000000000006</v>
      </c>
      <c r="H176" s="7">
        <f>358.23*250/200</f>
        <v>447.78750000000002</v>
      </c>
      <c r="I176" s="7">
        <f>2.62*250/200</f>
        <v>3.2749999999999999</v>
      </c>
      <c r="J176" s="17">
        <f>204.7*250/200</f>
        <v>255.875</v>
      </c>
      <c r="K176" s="18">
        <f>39.4*250/200</f>
        <v>49.25</v>
      </c>
      <c r="L176" s="7">
        <f>1.35*250/200</f>
        <v>1.6875</v>
      </c>
    </row>
    <row r="177" spans="2:13" ht="26.25" customHeight="1" thickBot="1" x14ac:dyDescent="0.45">
      <c r="B177" s="9" t="s">
        <v>14</v>
      </c>
      <c r="C177" s="28" t="s">
        <v>42</v>
      </c>
      <c r="D177" s="15">
        <v>60</v>
      </c>
      <c r="E177" s="16">
        <v>4.5599999999999996</v>
      </c>
      <c r="F177" s="16">
        <v>0.47999999999999993</v>
      </c>
      <c r="G177" s="16">
        <v>29.479999999999997</v>
      </c>
      <c r="H177" s="6">
        <v>141</v>
      </c>
      <c r="I177" s="7">
        <v>0</v>
      </c>
      <c r="J177" s="17">
        <v>13.8</v>
      </c>
      <c r="K177" s="18">
        <v>19.8</v>
      </c>
      <c r="L177" s="7">
        <v>1.1466666666666667</v>
      </c>
    </row>
    <row r="178" spans="2:13" ht="26.25" customHeight="1" thickBot="1" x14ac:dyDescent="0.45">
      <c r="B178" s="9" t="s">
        <v>16</v>
      </c>
      <c r="C178" s="28" t="s">
        <v>43</v>
      </c>
      <c r="D178" s="15">
        <v>40</v>
      </c>
      <c r="E178" s="16">
        <v>2.64</v>
      </c>
      <c r="F178" s="16">
        <v>4.8</v>
      </c>
      <c r="G178" s="16">
        <v>13.36</v>
      </c>
      <c r="H178" s="6">
        <v>69.599999999999994</v>
      </c>
      <c r="I178" s="7">
        <v>0</v>
      </c>
      <c r="J178" s="17">
        <v>13.2</v>
      </c>
      <c r="K178" s="18">
        <v>22.8</v>
      </c>
      <c r="L178" s="7">
        <v>1.8079999999999998</v>
      </c>
    </row>
    <row r="179" spans="2:13" ht="26.25" customHeight="1" thickBot="1" x14ac:dyDescent="0.45">
      <c r="B179" s="35" t="s">
        <v>55</v>
      </c>
      <c r="C179" s="14" t="s">
        <v>56</v>
      </c>
      <c r="D179" s="36">
        <v>180</v>
      </c>
      <c r="E179" s="6">
        <v>0.9</v>
      </c>
      <c r="F179" s="6">
        <v>0.18</v>
      </c>
      <c r="G179" s="6">
        <v>18.18</v>
      </c>
      <c r="H179" s="6">
        <v>82.8</v>
      </c>
      <c r="I179" s="7">
        <v>3.6</v>
      </c>
      <c r="J179" s="38">
        <v>12.6</v>
      </c>
      <c r="K179" s="39">
        <v>7.2</v>
      </c>
      <c r="L179" s="7">
        <v>2.52</v>
      </c>
    </row>
    <row r="180" spans="2:13" ht="30" customHeight="1" thickBot="1" x14ac:dyDescent="0.45">
      <c r="B180" s="73"/>
      <c r="C180" s="98" t="s">
        <v>2</v>
      </c>
      <c r="D180" s="99">
        <f t="shared" ref="D180:L180" si="25">SUM(D174:D179)</f>
        <v>880</v>
      </c>
      <c r="E180" s="96">
        <f t="shared" si="25"/>
        <v>43.140833333333333</v>
      </c>
      <c r="F180" s="64">
        <f t="shared" si="25"/>
        <v>30.139166666666668</v>
      </c>
      <c r="G180" s="96">
        <f t="shared" si="25"/>
        <v>174.89833333333331</v>
      </c>
      <c r="H180" s="64">
        <f t="shared" si="25"/>
        <v>925.87083333333328</v>
      </c>
      <c r="I180" s="96">
        <f t="shared" si="25"/>
        <v>23.375</v>
      </c>
      <c r="J180" s="64">
        <f t="shared" si="25"/>
        <v>383.39166666666671</v>
      </c>
      <c r="K180" s="64">
        <f t="shared" si="25"/>
        <v>175.64333333333335</v>
      </c>
      <c r="L180" s="97">
        <f t="shared" si="25"/>
        <v>10.362166666666667</v>
      </c>
    </row>
    <row r="181" spans="2:13" ht="30.75" customHeight="1" thickBot="1" x14ac:dyDescent="0.45">
      <c r="B181" s="9"/>
      <c r="C181" s="67" t="s">
        <v>3</v>
      </c>
      <c r="D181" s="68">
        <f t="shared" ref="D181:L181" si="26">D180+D172</f>
        <v>1430</v>
      </c>
      <c r="E181" s="69">
        <f t="shared" si="26"/>
        <v>64.920833333333334</v>
      </c>
      <c r="F181" s="69">
        <f t="shared" si="26"/>
        <v>60.084166666666661</v>
      </c>
      <c r="G181" s="69">
        <f t="shared" si="26"/>
        <v>278.01583333333332</v>
      </c>
      <c r="H181" s="69">
        <f t="shared" si="26"/>
        <v>1688.2808333333332</v>
      </c>
      <c r="I181" s="69">
        <f t="shared" si="26"/>
        <v>28.745000000000001</v>
      </c>
      <c r="J181" s="69">
        <f t="shared" si="26"/>
        <v>707.09916666666663</v>
      </c>
      <c r="K181" s="69">
        <f t="shared" si="26"/>
        <v>303.21833333333336</v>
      </c>
      <c r="L181" s="64">
        <f t="shared" si="26"/>
        <v>15.278666666666666</v>
      </c>
    </row>
    <row r="182" spans="2:13" ht="32.25" customHeight="1" thickBot="1" x14ac:dyDescent="0.45">
      <c r="B182" s="2" t="s">
        <v>25</v>
      </c>
      <c r="C182" s="41"/>
      <c r="D182" s="41"/>
      <c r="E182" s="41"/>
      <c r="F182" s="41"/>
      <c r="G182" s="41"/>
      <c r="H182" s="41"/>
      <c r="I182" s="41"/>
      <c r="J182" s="41"/>
      <c r="K182" s="41"/>
      <c r="L182" s="42"/>
    </row>
    <row r="183" spans="2:13" ht="24" customHeight="1" thickBot="1" x14ac:dyDescent="0.45">
      <c r="B183" s="172" t="s">
        <v>4</v>
      </c>
      <c r="C183" s="166" t="s">
        <v>0</v>
      </c>
      <c r="D183" s="166" t="s">
        <v>31</v>
      </c>
      <c r="E183" s="163" t="s">
        <v>12</v>
      </c>
      <c r="F183" s="164"/>
      <c r="G183" s="164"/>
      <c r="H183" s="165"/>
      <c r="I183" s="168" t="s">
        <v>36</v>
      </c>
      <c r="J183" s="170" t="s">
        <v>37</v>
      </c>
      <c r="K183" s="170" t="s">
        <v>38</v>
      </c>
      <c r="L183" s="170" t="s">
        <v>40</v>
      </c>
    </row>
    <row r="184" spans="2:13" ht="46.5" customHeight="1" thickBot="1" x14ac:dyDescent="0.45">
      <c r="B184" s="173"/>
      <c r="C184" s="167"/>
      <c r="D184" s="167"/>
      <c r="E184" s="23" t="s">
        <v>32</v>
      </c>
      <c r="F184" s="23" t="s">
        <v>33</v>
      </c>
      <c r="G184" s="23" t="s">
        <v>34</v>
      </c>
      <c r="H184" s="23" t="s">
        <v>35</v>
      </c>
      <c r="I184" s="169"/>
      <c r="J184" s="171"/>
      <c r="K184" s="171"/>
      <c r="L184" s="171"/>
    </row>
    <row r="185" spans="2:13" ht="28.5" customHeight="1" thickBot="1" x14ac:dyDescent="0.45">
      <c r="B185" s="74" t="s">
        <v>27</v>
      </c>
      <c r="C185" s="51"/>
      <c r="D185" s="51"/>
      <c r="E185" s="51"/>
      <c r="F185" s="51"/>
      <c r="G185" s="51"/>
      <c r="H185" s="51"/>
      <c r="I185" s="51"/>
      <c r="J185" s="51"/>
      <c r="K185" s="75"/>
      <c r="L185" s="110"/>
    </row>
    <row r="186" spans="2:13" ht="27" customHeight="1" thickBot="1" x14ac:dyDescent="0.45">
      <c r="B186" s="58" t="s">
        <v>69</v>
      </c>
      <c r="C186" s="14" t="s">
        <v>81</v>
      </c>
      <c r="D186" s="36">
        <v>100</v>
      </c>
      <c r="E186" s="12">
        <v>0.7</v>
      </c>
      <c r="F186" s="12">
        <v>0.1</v>
      </c>
      <c r="G186" s="12">
        <v>1.8999999999999997</v>
      </c>
      <c r="H186" s="7">
        <v>11</v>
      </c>
      <c r="I186" s="16">
        <v>10</v>
      </c>
      <c r="J186" s="46">
        <v>23</v>
      </c>
      <c r="K186" s="18">
        <v>14</v>
      </c>
      <c r="L186" s="7">
        <v>0.9</v>
      </c>
    </row>
    <row r="187" spans="2:13" ht="29.25" customHeight="1" thickBot="1" x14ac:dyDescent="0.45">
      <c r="B187" s="9" t="s">
        <v>91</v>
      </c>
      <c r="C187" s="10" t="s">
        <v>73</v>
      </c>
      <c r="D187" s="11">
        <v>100</v>
      </c>
      <c r="E187" s="12">
        <v>10.63</v>
      </c>
      <c r="F187" s="12">
        <v>12.64</v>
      </c>
      <c r="G187" s="12">
        <v>19.02</v>
      </c>
      <c r="H187" s="12">
        <v>209.45</v>
      </c>
      <c r="I187" s="12">
        <v>0.54</v>
      </c>
      <c r="J187" s="12">
        <v>60.77</v>
      </c>
      <c r="K187" s="13">
        <v>33.950000000000003</v>
      </c>
      <c r="L187" s="7">
        <v>1.2</v>
      </c>
    </row>
    <row r="188" spans="2:13" ht="29.25" customHeight="1" thickBot="1" x14ac:dyDescent="0.45">
      <c r="B188" s="9" t="s">
        <v>96</v>
      </c>
      <c r="C188" s="10" t="s">
        <v>74</v>
      </c>
      <c r="D188" s="11">
        <v>180</v>
      </c>
      <c r="E188" s="16">
        <v>3.9</v>
      </c>
      <c r="F188" s="16">
        <v>3.456</v>
      </c>
      <c r="G188" s="16">
        <v>34.787999999999997</v>
      </c>
      <c r="H188" s="6">
        <v>227.47200000000001</v>
      </c>
      <c r="I188" s="7">
        <v>31.14</v>
      </c>
      <c r="J188" s="17">
        <v>174.708</v>
      </c>
      <c r="K188" s="18">
        <v>39.588000000000008</v>
      </c>
      <c r="L188" s="7">
        <v>1.464</v>
      </c>
    </row>
    <row r="189" spans="2:13" ht="28.5" customHeight="1" thickBot="1" x14ac:dyDescent="0.45">
      <c r="B189" s="9" t="s">
        <v>14</v>
      </c>
      <c r="C189" s="28" t="s">
        <v>42</v>
      </c>
      <c r="D189" s="15">
        <v>40</v>
      </c>
      <c r="E189" s="16">
        <v>3.04</v>
      </c>
      <c r="F189" s="16">
        <v>0.32</v>
      </c>
      <c r="G189" s="16">
        <v>19.68</v>
      </c>
      <c r="H189" s="16">
        <v>94</v>
      </c>
      <c r="I189" s="16">
        <v>0</v>
      </c>
      <c r="J189" s="16">
        <v>9.1999999999999993</v>
      </c>
      <c r="K189" s="18">
        <v>13.2</v>
      </c>
      <c r="L189" s="7">
        <v>0.76</v>
      </c>
    </row>
    <row r="190" spans="2:13" ht="27.75" customHeight="1" thickBot="1" x14ac:dyDescent="0.45">
      <c r="B190" s="9" t="s">
        <v>100</v>
      </c>
      <c r="C190" s="28" t="s">
        <v>101</v>
      </c>
      <c r="D190" s="111">
        <v>180</v>
      </c>
      <c r="E190" s="6">
        <v>0.11</v>
      </c>
      <c r="F190" s="7">
        <v>0.12</v>
      </c>
      <c r="G190" s="6">
        <v>25.09</v>
      </c>
      <c r="H190" s="6">
        <v>119.2</v>
      </c>
      <c r="I190" s="7">
        <v>1.83</v>
      </c>
      <c r="J190" s="6">
        <v>11.46</v>
      </c>
      <c r="K190" s="13">
        <v>3.64</v>
      </c>
      <c r="L190" s="7">
        <v>0.56999999999999995</v>
      </c>
    </row>
    <row r="191" spans="2:13" ht="30.75" customHeight="1" thickBot="1" x14ac:dyDescent="0.45">
      <c r="B191" s="150"/>
      <c r="C191" s="140" t="s">
        <v>28</v>
      </c>
      <c r="D191" s="151">
        <f t="shared" ref="D191:L191" si="27">SUM(D186:D190)</f>
        <v>600</v>
      </c>
      <c r="E191" s="131">
        <f t="shared" si="27"/>
        <v>18.38</v>
      </c>
      <c r="F191" s="152">
        <f t="shared" si="27"/>
        <v>16.636000000000003</v>
      </c>
      <c r="G191" s="131">
        <f t="shared" si="27"/>
        <v>100.47800000000001</v>
      </c>
      <c r="H191" s="152">
        <f t="shared" si="27"/>
        <v>661.12200000000007</v>
      </c>
      <c r="I191" s="131">
        <f t="shared" si="27"/>
        <v>43.51</v>
      </c>
      <c r="J191" s="152">
        <f t="shared" si="27"/>
        <v>279.13799999999998</v>
      </c>
      <c r="K191" s="131">
        <f t="shared" si="27"/>
        <v>104.37800000000001</v>
      </c>
      <c r="L191" s="131">
        <f t="shared" si="27"/>
        <v>4.8940000000000001</v>
      </c>
      <c r="M191" s="43"/>
    </row>
    <row r="192" spans="2:13" ht="30.75" customHeight="1" thickBot="1" x14ac:dyDescent="0.45">
      <c r="B192" s="76" t="s">
        <v>20</v>
      </c>
      <c r="C192" s="51"/>
      <c r="D192" s="77"/>
      <c r="E192" s="56"/>
      <c r="F192" s="56"/>
      <c r="G192" s="56"/>
      <c r="H192" s="56"/>
      <c r="I192" s="56"/>
      <c r="J192" s="56"/>
      <c r="K192" s="78"/>
      <c r="L192" s="79"/>
    </row>
    <row r="193" spans="1:14" ht="27.75" customHeight="1" thickBot="1" x14ac:dyDescent="0.45">
      <c r="B193" s="35" t="s">
        <v>69</v>
      </c>
      <c r="C193" s="14" t="s">
        <v>81</v>
      </c>
      <c r="D193" s="36">
        <v>100</v>
      </c>
      <c r="E193" s="6">
        <v>0.7</v>
      </c>
      <c r="F193" s="6">
        <v>0.1</v>
      </c>
      <c r="G193" s="6">
        <v>1.8999999999999997</v>
      </c>
      <c r="H193" s="6">
        <v>11</v>
      </c>
      <c r="I193" s="16">
        <v>10</v>
      </c>
      <c r="J193" s="38">
        <v>23</v>
      </c>
      <c r="K193" s="16">
        <v>14</v>
      </c>
      <c r="L193" s="16">
        <v>0.9</v>
      </c>
    </row>
    <row r="194" spans="1:14" ht="27" customHeight="1" thickBot="1" x14ac:dyDescent="0.45">
      <c r="B194" s="35" t="s">
        <v>121</v>
      </c>
      <c r="C194" s="14" t="s">
        <v>122</v>
      </c>
      <c r="D194" s="36">
        <v>250</v>
      </c>
      <c r="E194" s="6">
        <f>1.31*250/200</f>
        <v>1.6375</v>
      </c>
      <c r="F194" s="6">
        <f>4.86*250/200</f>
        <v>6.0750000000000002</v>
      </c>
      <c r="G194" s="6">
        <f>8.67*250/200</f>
        <v>10.8375</v>
      </c>
      <c r="H194" s="6">
        <f>106.06*250/200</f>
        <v>132.57499999999999</v>
      </c>
      <c r="I194" s="16">
        <f>14.48*250/200</f>
        <v>18.100000000000001</v>
      </c>
      <c r="J194" s="38">
        <f>27.49*250/200</f>
        <v>34.362499999999997</v>
      </c>
      <c r="K194" s="18">
        <f>15.19*250/200</f>
        <v>18.987500000000001</v>
      </c>
      <c r="L194" s="7">
        <f>0.72*250/200</f>
        <v>0.9</v>
      </c>
    </row>
    <row r="195" spans="1:14" ht="27.75" customHeight="1" thickBot="1" x14ac:dyDescent="0.45">
      <c r="B195" s="35" t="s">
        <v>123</v>
      </c>
      <c r="C195" s="14" t="s">
        <v>124</v>
      </c>
      <c r="D195" s="36">
        <v>250</v>
      </c>
      <c r="E195" s="6">
        <f>13.48*200/280</f>
        <v>9.6285714285714281</v>
      </c>
      <c r="F195" s="6">
        <f>21.99*200/280</f>
        <v>15.707142857142857</v>
      </c>
      <c r="G195" s="6">
        <f>51.12*200/280</f>
        <v>36.514285714285712</v>
      </c>
      <c r="H195" s="6">
        <f>400.02*200/280</f>
        <v>285.72857142857146</v>
      </c>
      <c r="I195" s="16">
        <f>3.47*200/280</f>
        <v>2.4785714285714286</v>
      </c>
      <c r="J195" s="38">
        <f>36.05*200/280</f>
        <v>25.749999999999996</v>
      </c>
      <c r="K195" s="18">
        <f>126.69*200/280</f>
        <v>90.492857142857147</v>
      </c>
      <c r="L195" s="7">
        <f>5.14*200/280</f>
        <v>3.6714285714285713</v>
      </c>
    </row>
    <row r="196" spans="1:14" ht="28.5" customHeight="1" thickBot="1" x14ac:dyDescent="0.45">
      <c r="B196" s="35" t="s">
        <v>14</v>
      </c>
      <c r="C196" s="14" t="s">
        <v>42</v>
      </c>
      <c r="D196" s="36">
        <v>60</v>
      </c>
      <c r="E196" s="6">
        <v>4.5599999999999996</v>
      </c>
      <c r="F196" s="6">
        <v>0.47999999999999993</v>
      </c>
      <c r="G196" s="6">
        <v>29.479999999999997</v>
      </c>
      <c r="H196" s="6">
        <v>141</v>
      </c>
      <c r="I196" s="18">
        <v>0</v>
      </c>
      <c r="J196" s="26">
        <v>13.8</v>
      </c>
      <c r="K196" s="18">
        <v>19.8</v>
      </c>
      <c r="L196" s="18">
        <v>1.1466666666666667</v>
      </c>
    </row>
    <row r="197" spans="1:14" ht="28.5" customHeight="1" thickBot="1" x14ac:dyDescent="0.45">
      <c r="B197" s="35" t="s">
        <v>16</v>
      </c>
      <c r="C197" s="14" t="s">
        <v>43</v>
      </c>
      <c r="D197" s="36">
        <v>40</v>
      </c>
      <c r="E197" s="6">
        <v>2.64</v>
      </c>
      <c r="F197" s="6">
        <v>4.8</v>
      </c>
      <c r="G197" s="6">
        <v>13.36</v>
      </c>
      <c r="H197" s="6">
        <v>69.599999999999994</v>
      </c>
      <c r="I197" s="18">
        <v>0</v>
      </c>
      <c r="J197" s="26">
        <v>13.2</v>
      </c>
      <c r="K197" s="18">
        <v>22.8</v>
      </c>
      <c r="L197" s="18">
        <v>1.8079999999999998</v>
      </c>
    </row>
    <row r="198" spans="1:14" ht="27.75" customHeight="1" thickBot="1" x14ac:dyDescent="0.45">
      <c r="B198" s="35" t="s">
        <v>26</v>
      </c>
      <c r="C198" s="14" t="s">
        <v>76</v>
      </c>
      <c r="D198" s="36">
        <v>200</v>
      </c>
      <c r="E198" s="6">
        <v>1.1555555555555554</v>
      </c>
      <c r="F198" s="6">
        <v>0.3</v>
      </c>
      <c r="G198" s="6">
        <v>47.255555555555553</v>
      </c>
      <c r="H198" s="6">
        <v>196.37777777777777</v>
      </c>
      <c r="I198" s="18">
        <v>0.8</v>
      </c>
      <c r="J198" s="8">
        <v>5.8444444444444441</v>
      </c>
      <c r="K198" s="109">
        <v>33.366666666666667</v>
      </c>
      <c r="L198" s="39">
        <v>0.9555555555555556</v>
      </c>
    </row>
    <row r="199" spans="1:14" ht="27.75" customHeight="1" thickBot="1" x14ac:dyDescent="0.45">
      <c r="B199" s="35" t="s">
        <v>17</v>
      </c>
      <c r="C199" s="14" t="s">
        <v>66</v>
      </c>
      <c r="D199" s="36">
        <v>100</v>
      </c>
      <c r="E199" s="6">
        <v>0.4</v>
      </c>
      <c r="F199" s="6">
        <v>0.4</v>
      </c>
      <c r="G199" s="6">
        <v>9.8000000000000007</v>
      </c>
      <c r="H199" s="6">
        <v>47</v>
      </c>
      <c r="I199" s="18">
        <v>10</v>
      </c>
      <c r="J199" s="8">
        <v>16</v>
      </c>
      <c r="K199" s="109">
        <v>9</v>
      </c>
      <c r="L199" s="39">
        <v>2.2000000000000002</v>
      </c>
    </row>
    <row r="200" spans="1:14" ht="32.25" customHeight="1" thickBot="1" x14ac:dyDescent="0.45">
      <c r="B200" s="80"/>
      <c r="C200" s="50" t="s">
        <v>2</v>
      </c>
      <c r="D200" s="62">
        <f t="shared" ref="D200:L200" si="28">SUM(D193:D199)</f>
        <v>1000</v>
      </c>
      <c r="E200" s="60">
        <f t="shared" si="28"/>
        <v>20.721626984126981</v>
      </c>
      <c r="F200" s="60">
        <f t="shared" si="28"/>
        <v>27.862142857142857</v>
      </c>
      <c r="G200" s="60">
        <f t="shared" si="28"/>
        <v>149.14734126984126</v>
      </c>
      <c r="H200" s="60">
        <f t="shared" si="28"/>
        <v>883.2813492063492</v>
      </c>
      <c r="I200" s="60">
        <f t="shared" si="28"/>
        <v>41.378571428571433</v>
      </c>
      <c r="J200" s="60">
        <f t="shared" si="28"/>
        <v>131.95694444444445</v>
      </c>
      <c r="K200" s="60">
        <f t="shared" si="28"/>
        <v>208.44702380952384</v>
      </c>
      <c r="L200" s="148">
        <f t="shared" si="28"/>
        <v>11.581650793650795</v>
      </c>
    </row>
    <row r="201" spans="1:14" ht="33.75" customHeight="1" thickBot="1" x14ac:dyDescent="0.45">
      <c r="B201" s="81"/>
      <c r="C201" s="100" t="s">
        <v>3</v>
      </c>
      <c r="D201" s="101">
        <f t="shared" ref="D201:L201" si="29">D200+D191</f>
        <v>1600</v>
      </c>
      <c r="E201" s="66">
        <f t="shared" si="29"/>
        <v>39.10162698412698</v>
      </c>
      <c r="F201" s="66">
        <f t="shared" si="29"/>
        <v>44.498142857142859</v>
      </c>
      <c r="G201" s="66">
        <f t="shared" si="29"/>
        <v>249.62534126984127</v>
      </c>
      <c r="H201" s="66">
        <f t="shared" si="29"/>
        <v>1544.4033492063493</v>
      </c>
      <c r="I201" s="66">
        <f t="shared" si="29"/>
        <v>84.888571428571424</v>
      </c>
      <c r="J201" s="66">
        <f t="shared" si="29"/>
        <v>411.09494444444442</v>
      </c>
      <c r="K201" s="66">
        <f t="shared" si="29"/>
        <v>312.82502380952383</v>
      </c>
      <c r="L201" s="66">
        <f t="shared" si="29"/>
        <v>16.475650793650793</v>
      </c>
    </row>
    <row r="202" spans="1:14" ht="36.75" customHeight="1" thickBot="1" x14ac:dyDescent="0.45">
      <c r="B202" s="112"/>
      <c r="C202" s="113" t="s">
        <v>11</v>
      </c>
      <c r="D202" s="82">
        <f t="shared" ref="D202:L202" si="30">D201+D181+D161+D140+D120+D99+D80+D59+D41+D21</f>
        <v>15065</v>
      </c>
      <c r="E202" s="83">
        <f t="shared" si="30"/>
        <v>534.90735807656392</v>
      </c>
      <c r="F202" s="83">
        <f t="shared" si="30"/>
        <v>550.74699579831929</v>
      </c>
      <c r="G202" s="83">
        <f t="shared" si="30"/>
        <v>2741.4746012138185</v>
      </c>
      <c r="H202" s="83">
        <f t="shared" si="30"/>
        <v>16385.225219140986</v>
      </c>
      <c r="I202" s="83">
        <f t="shared" si="30"/>
        <v>785.07360840336128</v>
      </c>
      <c r="J202" s="84">
        <f t="shared" si="30"/>
        <v>5639.2423796451922</v>
      </c>
      <c r="K202" s="84">
        <f t="shared" si="30"/>
        <v>2789.9630239962648</v>
      </c>
      <c r="L202" s="85">
        <f t="shared" si="30"/>
        <v>166.95624733893555</v>
      </c>
    </row>
    <row r="203" spans="1:14" ht="36" customHeight="1" thickBot="1" x14ac:dyDescent="0.45">
      <c r="B203" s="114"/>
      <c r="C203" s="115" t="s">
        <v>10</v>
      </c>
      <c r="D203" s="86">
        <f t="shared" ref="D203:L203" si="31">D202/10</f>
        <v>1506.5</v>
      </c>
      <c r="E203" s="87">
        <f t="shared" si="31"/>
        <v>53.490735807656392</v>
      </c>
      <c r="F203" s="88">
        <f t="shared" si="31"/>
        <v>55.074699579831929</v>
      </c>
      <c r="G203" s="89">
        <f t="shared" si="31"/>
        <v>274.14746012138187</v>
      </c>
      <c r="H203" s="89">
        <f t="shared" si="31"/>
        <v>1638.5225219140987</v>
      </c>
      <c r="I203" s="87">
        <f t="shared" si="31"/>
        <v>78.507360840336133</v>
      </c>
      <c r="J203" s="90">
        <f t="shared" si="31"/>
        <v>563.92423796451919</v>
      </c>
      <c r="K203" s="85">
        <f t="shared" si="31"/>
        <v>278.99630239962647</v>
      </c>
      <c r="L203" s="85">
        <f t="shared" si="31"/>
        <v>16.695624733893556</v>
      </c>
    </row>
    <row r="204" spans="1:14" ht="31.5" customHeight="1" x14ac:dyDescent="0.4">
      <c r="A204" s="91" t="s">
        <v>30</v>
      </c>
      <c r="B204" s="174"/>
      <c r="C204" s="174"/>
      <c r="D204" s="174"/>
      <c r="E204" s="174"/>
      <c r="F204" s="174"/>
      <c r="G204" s="174"/>
      <c r="H204" s="174"/>
      <c r="I204" s="174"/>
      <c r="J204" s="174"/>
      <c r="K204" s="174"/>
      <c r="L204" s="174"/>
    </row>
    <row r="205" spans="1:14" ht="21" x14ac:dyDescent="0.4">
      <c r="B205" s="92"/>
    </row>
    <row r="206" spans="1:14" ht="21" x14ac:dyDescent="0.4">
      <c r="B206" s="92"/>
      <c r="M206" s="95"/>
      <c r="N206" s="95"/>
    </row>
    <row r="207" spans="1:14" ht="21" x14ac:dyDescent="0.4">
      <c r="B207" s="92"/>
      <c r="M207" s="95"/>
      <c r="N207" s="95"/>
    </row>
    <row r="208" spans="1:14" ht="21" x14ac:dyDescent="0.4">
      <c r="B208" s="92"/>
      <c r="M208" s="95"/>
      <c r="N208" s="95"/>
    </row>
    <row r="209" spans="2:15" ht="33" customHeight="1" x14ac:dyDescent="0.4">
      <c r="B209" s="92"/>
      <c r="M209" s="95"/>
      <c r="N209" s="95"/>
    </row>
    <row r="210" spans="2:15" ht="39.75" customHeight="1" x14ac:dyDescent="0.4">
      <c r="B210" s="92"/>
      <c r="M210" s="95"/>
      <c r="N210" s="95"/>
    </row>
    <row r="211" spans="2:15" ht="39.75" customHeight="1" x14ac:dyDescent="0.4">
      <c r="B211" s="92"/>
      <c r="M211" s="95"/>
      <c r="N211" s="95"/>
      <c r="O211" s="95"/>
    </row>
    <row r="212" spans="2:15" ht="39.75" customHeight="1" x14ac:dyDescent="0.4">
      <c r="B212" s="92"/>
      <c r="M212" s="95"/>
      <c r="N212" s="95"/>
      <c r="O212" s="95"/>
    </row>
    <row r="213" spans="2:15" ht="39.75" customHeight="1" x14ac:dyDescent="0.4">
      <c r="B213" s="92"/>
      <c r="M213" s="95"/>
      <c r="N213" s="95"/>
      <c r="O213" s="95"/>
    </row>
    <row r="214" spans="2:15" ht="39.75" customHeight="1" x14ac:dyDescent="0.4">
      <c r="B214" s="92"/>
      <c r="M214" s="95"/>
      <c r="N214" s="95"/>
      <c r="O214" s="95"/>
    </row>
    <row r="215" spans="2:15" ht="39.75" customHeight="1" x14ac:dyDescent="0.4">
      <c r="B215" s="92"/>
      <c r="M215" s="95"/>
      <c r="N215" s="95"/>
      <c r="O215" s="95"/>
    </row>
    <row r="216" spans="2:15" ht="39.75" customHeight="1" x14ac:dyDescent="0.4">
      <c r="B216" s="92"/>
      <c r="M216" s="95"/>
      <c r="N216" s="95"/>
      <c r="O216" s="95"/>
    </row>
    <row r="217" spans="2:15" ht="39.75" customHeight="1" x14ac:dyDescent="0.4">
      <c r="B217" s="92"/>
      <c r="M217" s="95"/>
      <c r="N217" s="95"/>
      <c r="O217" s="95"/>
    </row>
    <row r="218" spans="2:15" ht="39.75" customHeight="1" x14ac:dyDescent="0.4">
      <c r="B218" s="92"/>
      <c r="M218" s="95"/>
      <c r="N218" s="95"/>
      <c r="O218" s="95"/>
    </row>
    <row r="219" spans="2:15" ht="39.75" customHeight="1" x14ac:dyDescent="0.4">
      <c r="B219" s="92"/>
      <c r="M219" s="95"/>
      <c r="N219" s="95"/>
      <c r="O219" s="95"/>
    </row>
    <row r="220" spans="2:15" ht="39.75" customHeight="1" x14ac:dyDescent="0.4">
      <c r="B220" s="92"/>
      <c r="M220" s="95"/>
      <c r="N220" s="95"/>
      <c r="O220" s="95"/>
    </row>
    <row r="221" spans="2:15" ht="39.75" customHeight="1" x14ac:dyDescent="0.4">
      <c r="B221" s="92"/>
      <c r="M221" s="95"/>
      <c r="N221" s="95"/>
      <c r="O221" s="95"/>
    </row>
    <row r="222" spans="2:15" ht="39.75" customHeight="1" x14ac:dyDescent="0.4">
      <c r="B222" s="92"/>
      <c r="M222" s="95"/>
      <c r="N222" s="95"/>
      <c r="O222" s="95"/>
    </row>
  </sheetData>
  <autoFilter ref="C4:C213"/>
  <mergeCells count="82">
    <mergeCell ref="K183:K184"/>
    <mergeCell ref="L183:L184"/>
    <mergeCell ref="B204:L204"/>
    <mergeCell ref="B183:B184"/>
    <mergeCell ref="C183:C184"/>
    <mergeCell ref="D183:D184"/>
    <mergeCell ref="E183:H183"/>
    <mergeCell ref="I183:I184"/>
    <mergeCell ref="J183:J184"/>
    <mergeCell ref="K142:K143"/>
    <mergeCell ref="L142:L143"/>
    <mergeCell ref="B163:B164"/>
    <mergeCell ref="C163:C164"/>
    <mergeCell ref="D163:D164"/>
    <mergeCell ref="E163:H163"/>
    <mergeCell ref="I163:I164"/>
    <mergeCell ref="J163:J164"/>
    <mergeCell ref="K163:K164"/>
    <mergeCell ref="L163:L164"/>
    <mergeCell ref="B142:B143"/>
    <mergeCell ref="C142:C143"/>
    <mergeCell ref="D142:D143"/>
    <mergeCell ref="E142:H142"/>
    <mergeCell ref="I142:I143"/>
    <mergeCell ref="J142:J143"/>
    <mergeCell ref="K101:K102"/>
    <mergeCell ref="L101:L102"/>
    <mergeCell ref="B122:B123"/>
    <mergeCell ref="C122:C123"/>
    <mergeCell ref="D122:D123"/>
    <mergeCell ref="E122:H122"/>
    <mergeCell ref="I122:I123"/>
    <mergeCell ref="J122:J123"/>
    <mergeCell ref="K122:K123"/>
    <mergeCell ref="L122:L123"/>
    <mergeCell ref="B101:B102"/>
    <mergeCell ref="C101:C102"/>
    <mergeCell ref="D101:D102"/>
    <mergeCell ref="E101:H101"/>
    <mergeCell ref="I101:I102"/>
    <mergeCell ref="J101:J102"/>
    <mergeCell ref="K61:K62"/>
    <mergeCell ref="L61:L62"/>
    <mergeCell ref="B82:B83"/>
    <mergeCell ref="C82:C83"/>
    <mergeCell ref="D82:D83"/>
    <mergeCell ref="E82:H82"/>
    <mergeCell ref="I82:I83"/>
    <mergeCell ref="J82:J83"/>
    <mergeCell ref="K82:K83"/>
    <mergeCell ref="L82:L83"/>
    <mergeCell ref="B61:B62"/>
    <mergeCell ref="C61:C62"/>
    <mergeCell ref="D61:D62"/>
    <mergeCell ref="E61:H61"/>
    <mergeCell ref="I61:I62"/>
    <mergeCell ref="J61:J62"/>
    <mergeCell ref="K23:K24"/>
    <mergeCell ref="L23:L24"/>
    <mergeCell ref="B43:B44"/>
    <mergeCell ref="C43:C44"/>
    <mergeCell ref="D43:D44"/>
    <mergeCell ref="E43:H43"/>
    <mergeCell ref="I43:I44"/>
    <mergeCell ref="J43:J44"/>
    <mergeCell ref="K43:K44"/>
    <mergeCell ref="L43:L44"/>
    <mergeCell ref="B23:B24"/>
    <mergeCell ref="C23:C24"/>
    <mergeCell ref="D23:D24"/>
    <mergeCell ref="E23:H23"/>
    <mergeCell ref="I23:I24"/>
    <mergeCell ref="J23:J24"/>
    <mergeCell ref="B2:L2"/>
    <mergeCell ref="B4:B5"/>
    <mergeCell ref="C4:C5"/>
    <mergeCell ref="D4:D5"/>
    <mergeCell ref="E4:H4"/>
    <mergeCell ref="I4:I5"/>
    <mergeCell ref="J4:J5"/>
    <mergeCell ref="K4:K5"/>
    <mergeCell ref="L4:L5"/>
  </mergeCells>
  <pageMargins left="0" right="0" top="0.35433070866141736" bottom="0.15748031496062992" header="0.19685039370078741" footer="0"/>
  <pageSetup paperSize="9" scale="46" orientation="landscape" r:id="rId1"/>
  <rowBreaks count="7" manualBreakCount="7">
    <brk id="41" max="12" man="1"/>
    <brk id="80" max="12" man="1"/>
    <brk id="120" max="12" man="1"/>
    <brk id="161" max="12" man="1"/>
    <brk id="203" max="11" man="1"/>
    <brk id="209" max="12" man="1"/>
    <brk id="244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меню 1-4 классы</vt:lpstr>
      <vt:lpstr>5-11кл.</vt:lpstr>
      <vt:lpstr>'5-11кл.'!_Hlk57507523</vt:lpstr>
      <vt:lpstr>'меню 1-4 классы'!_Hlk57507523</vt:lpstr>
      <vt:lpstr>'5-11кл.'!Область_печати</vt:lpstr>
      <vt:lpstr>'меню 1-4 классы'!Область_печати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2026-01-17T07:57:54Z</dcterms:modified>
</cp:coreProperties>
</file>